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ase d'asta" sheetId="1" r:id="rId1"/>
    <sheet name="Costi Appalto" sheetId="2" r:id="rId2"/>
    <sheet name="Comparazione costi" sheetId="3" r:id="rId3"/>
    <sheet name="Costi conservazione digitale su consip" sheetId="4" r:id="rId4"/>
    <sheet name="Storico cartelle cliniche" sheetId="5" r:id="rId5"/>
  </sheets>
  <definedNames>
    <definedName name="_xlnm.Print_Area" localSheetId="2">'Comparazione costi'!$B$20</definedName>
  </definedNames>
  <calcPr fullCalcOnLoad="1"/>
</workbook>
</file>

<file path=xl/sharedStrings.xml><?xml version="1.0" encoding="utf-8"?>
<sst xmlns="http://schemas.openxmlformats.org/spreadsheetml/2006/main" count="415" uniqueCount="165">
  <si>
    <t>DETERMINAZIONE BASE D’ASTA</t>
  </si>
  <si>
    <t>Ditta/RTI</t>
  </si>
  <si>
    <t>IMPORTO TOTALE LOTTI 1, 2, 3 e 4</t>
  </si>
  <si>
    <t>GIGABYTE TOTALI PRIMO ANNO</t>
  </si>
  <si>
    <t>Descrizione servizio</t>
  </si>
  <si>
    <t>Unità di misura</t>
  </si>
  <si>
    <t>Importo annuo/ U.M.</t>
  </si>
  <si>
    <t>Totale</t>
  </si>
  <si>
    <t>Infrastruttura ICT e applicativi in cloud. Il costo verrà suddiviso equamente tra i lotti.</t>
  </si>
  <si>
    <t>canone</t>
  </si>
  <si>
    <t>Conservazione documenti cartacei</t>
  </si>
  <si>
    <t>metri lineari</t>
  </si>
  <si>
    <t>Digitalizzazione con produzione copia digitale conforme all’originale</t>
  </si>
  <si>
    <t>Conservazione a norma dei documenti prodotti in corso di contratto</t>
  </si>
  <si>
    <t>Gigabyte</t>
  </si>
  <si>
    <t>Costo catalogazione</t>
  </si>
  <si>
    <t>LOTTO 1</t>
  </si>
  <si>
    <t>ARNAS OSPEDALI CIVICO DI CRISTINA</t>
  </si>
  <si>
    <t>Valore allegato A al CS dell’Incremento medio annuo dell’archivio in metri lineari</t>
  </si>
  <si>
    <t>Valore allegato A al CS della Consistenza archivio fino al 2019 in metri lineari + valore medio incremento annuo*2</t>
  </si>
  <si>
    <t>Consistenza in ml dell’archivio storico precedente al 1978</t>
  </si>
  <si>
    <r>
      <rPr>
        <sz val="10"/>
        <rFont val="Arial"/>
        <family val="2"/>
      </rPr>
      <t xml:space="preserve">La D.A. digitalizza ogni anno un numero di ml di documenti di anni pregressi pari al </t>
    </r>
    <r>
      <rPr>
        <sz val="10"/>
        <color indexed="8"/>
        <rFont val="Arial"/>
        <family val="2"/>
      </rPr>
      <t>Valore allegato A al CS della (Consistenza archivio storico fino al 2019 in metri lineari + valore medio incremento annuo*2) - Consistenza</t>
    </r>
    <r>
      <rPr>
        <sz val="10"/>
        <rFont val="Arial"/>
        <family val="2"/>
      </rPr>
      <t xml:space="preserve"> dell’archivio storico precedente al 1978)/anni appalto</t>
    </r>
  </si>
  <si>
    <t>Metri lineari archivio cartaceo digitalizzati*1GB</t>
  </si>
  <si>
    <t>metri lineari archivio cartaceo digitalizzati*1GB</t>
  </si>
  <si>
    <t>Base d’asta LOTTO 1</t>
  </si>
  <si>
    <t>ANNO CONTRATTO</t>
  </si>
  <si>
    <t>Determinazione quantità lotto 1</t>
  </si>
  <si>
    <t>quantità lotto 1</t>
  </si>
  <si>
    <t>Costi 1° anno</t>
  </si>
  <si>
    <t>Costi 2° anno</t>
  </si>
  <si>
    <r>
      <rPr>
        <b/>
        <sz val="11"/>
        <rFont val="Arial"/>
        <family val="2"/>
      </rPr>
      <t>Costi</t>
    </r>
    <r>
      <rPr>
        <b/>
        <sz val="10"/>
        <rFont val="Arial"/>
        <family val="2"/>
      </rPr>
      <t xml:space="preserve"> 3° anno</t>
    </r>
  </si>
  <si>
    <r>
      <rPr>
        <b/>
        <sz val="11"/>
        <rFont val="Arial"/>
        <family val="2"/>
      </rPr>
      <t>Costi</t>
    </r>
    <r>
      <rPr>
        <b/>
        <sz val="10"/>
        <rFont val="Arial"/>
        <family val="2"/>
      </rPr>
      <t xml:space="preserve"> 4° anno</t>
    </r>
  </si>
  <si>
    <r>
      <rPr>
        <b/>
        <sz val="11"/>
        <rFont val="Arial"/>
        <family val="2"/>
      </rPr>
      <t>Costi</t>
    </r>
    <r>
      <rPr>
        <b/>
        <sz val="10"/>
        <rFont val="Arial"/>
        <family val="2"/>
      </rPr>
      <t xml:space="preserve"> 5° anno</t>
    </r>
  </si>
  <si>
    <r>
      <rPr>
        <b/>
        <sz val="11"/>
        <rFont val="Arial"/>
        <family val="2"/>
      </rPr>
      <t>Costi</t>
    </r>
    <r>
      <rPr>
        <b/>
        <sz val="10"/>
        <rFont val="Arial"/>
        <family val="2"/>
      </rPr>
      <t xml:space="preserve"> 6° anno</t>
    </r>
  </si>
  <si>
    <r>
      <rPr>
        <b/>
        <sz val="11"/>
        <rFont val="Arial"/>
        <family val="2"/>
      </rPr>
      <t>Costi</t>
    </r>
    <r>
      <rPr>
        <b/>
        <sz val="10"/>
        <rFont val="Arial"/>
        <family val="2"/>
      </rPr>
      <t xml:space="preserve"> 7° anno</t>
    </r>
  </si>
  <si>
    <t>Conservazione documenti cartacei in deposito presso gli enti</t>
  </si>
  <si>
    <t>Valore allegato A al CS della Consistenza archivio storico fino al 2019 in metri lineari + valore medio incremento annuo*2</t>
  </si>
  <si>
    <t>Digitalizzazione documenti prodotti in corso di contratto</t>
  </si>
  <si>
    <t>Valore allegato A al CS dell’Incremento medio annuo dell’archivio in metri lineari*1GB</t>
  </si>
  <si>
    <t>Digitalizzazione documenti per numero di anni precedenti all’avvio del servizio</t>
  </si>
  <si>
    <t>La D.A. digitalizza ogni anno un numero di ml di documenti di anni pregressi pari al Valore allegato A al CS della (Consistenza archivio  fino al 2019 in metri lineari + valore medio incremento annuo*2) - Consistenza dell’archivio storico precedente al 1978)/anni appalto</t>
  </si>
  <si>
    <t>Conservazione a norma delle cartelle cliniche digitalizzate per anni precedenti all’avvio del servizio</t>
  </si>
  <si>
    <t xml:space="preserve">TOTALE ANNUO: </t>
  </si>
  <si>
    <t>LOTTO 2</t>
  </si>
  <si>
    <t>ASP PALERMO</t>
  </si>
  <si>
    <t xml:space="preserve">Valore allegato A al CS della Consistenza archivio fino al 2019 in metri lineari </t>
  </si>
  <si>
    <t>Base d’asta LOTTO 2</t>
  </si>
  <si>
    <t>LOTTO 3</t>
  </si>
  <si>
    <t>A.O Ospedali Riuniti Villa Sofia - Cervello</t>
  </si>
  <si>
    <r>
      <rPr>
        <sz val="10"/>
        <rFont val="Arial"/>
        <family val="2"/>
      </rPr>
      <t xml:space="preserve">La D.A. digitalizza ogni anno un numero di ml di documenti di anni pregressi pari al </t>
    </r>
    <r>
      <rPr>
        <sz val="10"/>
        <color indexed="8"/>
        <rFont val="Arial"/>
        <family val="2"/>
      </rPr>
      <t>Valore allegato A al CS della (Consistenza archivio storico fino al 2019 in metri lineari + valore medio incremento annuo*2) - Consistenza</t>
    </r>
    <r>
      <rPr>
        <sz val="10"/>
        <rFont val="Arial"/>
        <family val="2"/>
      </rPr>
      <t xml:space="preserve"> dell’archivio storico precedente al 1978)/durata in anni dell’appalto</t>
    </r>
  </si>
  <si>
    <t>Base d’asta</t>
  </si>
  <si>
    <t>LOTTO 4</t>
  </si>
  <si>
    <t>AOU Policlinico Giaccone</t>
  </si>
  <si>
    <t>Determinazione base d’asta</t>
  </si>
  <si>
    <t>Anni appalto</t>
  </si>
  <si>
    <t>Voce di costo</t>
  </si>
  <si>
    <t>Quantità Lotto 1</t>
  </si>
  <si>
    <t>Quantità Lotto 2</t>
  </si>
  <si>
    <t>Quantità Lotto 3</t>
  </si>
  <si>
    <t>Quantità Lotto 4</t>
  </si>
  <si>
    <t>Numero di anni pregressi da digitalizzare</t>
  </si>
  <si>
    <t>Conservazione documenti cartacei in deposito presso gli enti fino al 2019</t>
  </si>
  <si>
    <t>A</t>
  </si>
  <si>
    <t>B</t>
  </si>
  <si>
    <t>C</t>
  </si>
  <si>
    <t>Digitalizzazione delle cartelle cliniche per numero di anni precedenti all’avvio del servizio</t>
  </si>
  <si>
    <t>D</t>
  </si>
  <si>
    <t>La D.A. digitalizza ogni anno un numero di ml di documenti di anni pregressi pari all’incremento medio annuo dell’archivio.</t>
  </si>
  <si>
    <t>E</t>
  </si>
  <si>
    <t>Determinazione costi LOTTO 1</t>
  </si>
  <si>
    <t>Costo A</t>
  </si>
  <si>
    <t>Costo B</t>
  </si>
  <si>
    <t>Costo C</t>
  </si>
  <si>
    <t>Costo D</t>
  </si>
  <si>
    <t>Costo E</t>
  </si>
  <si>
    <t>ml storici</t>
  </si>
  <si>
    <t>Anno</t>
  </si>
  <si>
    <t>Totale Lotto</t>
  </si>
  <si>
    <t>Determinazione costi LOTTO 2</t>
  </si>
  <si>
    <t>Archiviazione fisica cartelle cliniche</t>
  </si>
  <si>
    <t>Annuo</t>
  </si>
  <si>
    <t>Storico</t>
  </si>
  <si>
    <t>Cartelle cliniche</t>
  </si>
  <si>
    <t>Numero CC</t>
  </si>
  <si>
    <t>CC/ml</t>
  </si>
  <si>
    <t>Peso gr ml carta</t>
  </si>
  <si>
    <t>Fogli A4/ml</t>
  </si>
  <si>
    <t>GB/Foglio</t>
  </si>
  <si>
    <t>GB/ml</t>
  </si>
  <si>
    <t>Totale GB</t>
  </si>
  <si>
    <t>Metri lineari occupati Cart. Clin. Anno 2017</t>
  </si>
  <si>
    <t xml:space="preserve">  </t>
  </si>
  <si>
    <t>Costo annuo a metro lineare</t>
  </si>
  <si>
    <t>Num. Cart. Clin. Anno 2017</t>
  </si>
  <si>
    <t>Costo annuo archiviazione fisica cart.clin. 2017</t>
  </si>
  <si>
    <t>Costo totale annuo archiviazione fisica</t>
  </si>
  <si>
    <t>Costo annuo digitalizzazione cartelle cliniche</t>
  </si>
  <si>
    <t>Costo digitalizzazione a cartella clinica</t>
  </si>
  <si>
    <t>Costo totale digitalizzazione storico 2001-2020</t>
  </si>
  <si>
    <t>Costo totale digitalizzazione 15000 ml storico x 40 anni opzionale</t>
  </si>
  <si>
    <t>Numero di anni gara</t>
  </si>
  <si>
    <t>Costo totale archiviazione fisica x gli anni di gara compreso lo storico</t>
  </si>
  <si>
    <t>Costo totale digitalizzazione x gli anni di gara e archiviazione fisica dello storico</t>
  </si>
  <si>
    <t>Costo totale digitalizzazione x gli anni di gara e digitalizzazione storico 2001-2020</t>
  </si>
  <si>
    <t>Costo totale digitalizzazione x gli anni di gara e digitalizzazione storico 40 anni</t>
  </si>
  <si>
    <t>Conservazione digitale cartelle cliniche</t>
  </si>
  <si>
    <t>GB/cc</t>
  </si>
  <si>
    <t>MB/cc</t>
  </si>
  <si>
    <t>Kb/cc</t>
  </si>
  <si>
    <t>Fogli/cc</t>
  </si>
  <si>
    <t>Kb/foglio</t>
  </si>
  <si>
    <t>GB per archiviazione digitale cart. Clin. 2017</t>
  </si>
  <si>
    <t>GB per archiviazione digitale storico 2001-2020</t>
  </si>
  <si>
    <t>Costo a gigabyte</t>
  </si>
  <si>
    <t>Costo annuo conservazione digitale sostitutiva cart. Cliniche 2017 Fascia Xlarge</t>
  </si>
  <si>
    <t>Costo conservazione digitale sostitutiva x gli anni di gara Fascia Xlarge</t>
  </si>
  <si>
    <t>Costo conservazione digitale sostitutiva x storico 2001-2020 Fascia XXLarge</t>
  </si>
  <si>
    <t>A Canone (annuale) per [1GB]: </t>
  </si>
  <si>
    <t>Fascia Small [fino a 10GB] </t>
  </si>
  <si>
    <t>Fascia Medium [fino a 100 GB] </t>
  </si>
  <si>
    <t>Fascia Large [da 101 a 500 GB] </t>
  </si>
  <si>
    <t>Fascia XLarge [da 501 a 1000 GB] </t>
  </si>
  <si>
    <t>Fascia XXLarge [da 1001 a 10.000 GB] </t>
  </si>
  <si>
    <t>Fascia XXXLarge [da 10.000 a 30.000 GB] </t>
  </si>
  <si>
    <r>
      <rPr>
        <sz val="11"/>
        <color indexed="18"/>
        <rFont val="ArialMT"/>
        <family val="2"/>
      </rPr>
      <t xml:space="preserve">Ultra </t>
    </r>
    <r>
      <rPr>
        <sz val="10"/>
        <color indexed="18"/>
        <rFont val="Times New Roman"/>
        <family val="1"/>
      </rPr>
      <t>[oltre 30.000 GB] </t>
    </r>
  </si>
  <si>
    <t>Durata minima: 12 mesi (canone)</t>
  </si>
  <si>
    <t>Small</t>
  </si>
  <si>
    <r>
      <rPr>
        <b/>
        <sz val="11"/>
        <color indexed="18"/>
        <rFont val="Arial-BoldMT"/>
        <family val="2"/>
      </rPr>
      <t xml:space="preserve"> </t>
    </r>
    <r>
      <rPr>
        <b/>
        <sz val="11"/>
        <color indexed="18"/>
        <rFont val="Helvetica-Bold"/>
        <family val="2"/>
      </rPr>
      <t xml:space="preserve"> Conservazione Digitale</t>
    </r>
  </si>
  <si>
    <t>Medium</t>
  </si>
  <si>
    <r>
      <rPr>
        <b/>
        <sz val="11"/>
        <color indexed="18"/>
        <rFont val="Arial-BoldMT"/>
        <family val="2"/>
      </rPr>
      <t xml:space="preserve"> </t>
    </r>
    <r>
      <rPr>
        <sz val="11"/>
        <color indexed="18"/>
        <rFont val="ArialMT"/>
        <family val="2"/>
      </rPr>
      <t xml:space="preserve"> Large</t>
    </r>
  </si>
  <si>
    <r>
      <rPr>
        <b/>
        <sz val="11"/>
        <color indexed="18"/>
        <rFont val="Arial-BoldMT"/>
        <family val="2"/>
      </rPr>
      <t xml:space="preserve"> </t>
    </r>
    <r>
      <rPr>
        <sz val="11"/>
        <color indexed="18"/>
        <rFont val="ArialMT"/>
        <family val="2"/>
      </rPr>
      <t xml:space="preserve"> Xlarge</t>
    </r>
  </si>
  <si>
    <r>
      <rPr>
        <b/>
        <sz val="11"/>
        <color indexed="18"/>
        <rFont val="Arial-BoldMT"/>
        <family val="2"/>
      </rPr>
      <t xml:space="preserve"> </t>
    </r>
    <r>
      <rPr>
        <sz val="11"/>
        <color indexed="18"/>
        <rFont val="ArialMT"/>
        <family val="2"/>
      </rPr>
      <t xml:space="preserve"> XXlarge</t>
    </r>
  </si>
  <si>
    <r>
      <rPr>
        <b/>
        <sz val="11"/>
        <color indexed="18"/>
        <rFont val="Arial-BoldMT"/>
        <family val="2"/>
      </rPr>
      <t xml:space="preserve"> </t>
    </r>
    <r>
      <rPr>
        <sz val="11"/>
        <color indexed="18"/>
        <rFont val="ArialMT"/>
        <family val="2"/>
      </rPr>
      <t xml:space="preserve"> XXXlarge</t>
    </r>
  </si>
  <si>
    <r>
      <rPr>
        <b/>
        <sz val="11"/>
        <color indexed="18"/>
        <rFont val="Arial-BoldMT"/>
        <family val="2"/>
      </rPr>
      <t xml:space="preserve">  </t>
    </r>
    <r>
      <rPr>
        <b/>
        <sz val="11"/>
        <color indexed="18"/>
        <rFont val="Helvetica-Bold"/>
        <family val="2"/>
      </rPr>
      <t xml:space="preserve"> </t>
    </r>
  </si>
  <si>
    <t>L1.S4.5</t>
  </si>
  <si>
    <t>Ultra</t>
  </si>
  <si>
    <t>ANNO</t>
  </si>
  <si>
    <t>TIPOREGIME</t>
  </si>
  <si>
    <t>TOTALE</t>
  </si>
  <si>
    <t>2001</t>
  </si>
  <si>
    <t>DH</t>
  </si>
  <si>
    <t>ORD</t>
  </si>
  <si>
    <t>2002</t>
  </si>
  <si>
    <t>2003</t>
  </si>
  <si>
    <t>2004</t>
  </si>
  <si>
    <t>2005</t>
  </si>
  <si>
    <t>2006</t>
  </si>
  <si>
    <t>2007</t>
  </si>
  <si>
    <t>2008</t>
  </si>
  <si>
    <t>2009</t>
  </si>
  <si>
    <t>DS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</si>
  <si>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</si>
  <si>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</si>
  <si>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</si>
  <si>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</si>
  <si>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</si>
  <si>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</si>
  <si>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</si>
  <si>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</si>
  <si>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</si>
  <si>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</si>
  <si>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</si>
  <si>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Totale cartelle 2001-2020</t>
  </si>
  <si>
    <t>Totale cartelle 1979-2000</t>
  </si>
  <si>
    <t>Totale cartelle 1979-2020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</si>
</sst>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€-410]\ #,##0.00;[RED]\-[$€-410]\ #,##0.00"/>
    <numFmt numFmtId="166" formatCode="#,##0"/>
    <numFmt numFmtId="167" formatCode="@"/>
    <numFmt numFmtId="168" formatCode="[$ml-410]\ #,##0;&quot;- &quot;[$ml-410]\ #,##0"/>
    <numFmt numFmtId="169" formatCode="0"/>
  </numFmts>
  <fonts count="15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color indexed="18"/>
      <name val="Arial-BoldMT"/>
      <family val="2"/>
    </font>
    <font>
      <sz val="11"/>
      <color indexed="18"/>
      <name val="ArialMT"/>
      <family val="2"/>
    </font>
    <font>
      <sz val="10"/>
      <color indexed="18"/>
      <name val="Times New Roman"/>
      <family val="1"/>
    </font>
    <font>
      <b/>
      <sz val="11"/>
      <color indexed="18"/>
      <name val="Helvetica-Bold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 wrapText="1"/>
      <protection hidden="1"/>
    </xf>
    <xf numFmtId="164" fontId="0" fillId="2" borderId="1" xfId="0" applyFill="1" applyBorder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hidden="1"/>
    </xf>
    <xf numFmtId="165" fontId="0" fillId="0" borderId="0" xfId="0" applyNumberFormat="1" applyFont="1" applyAlignment="1" applyProtection="1">
      <alignment wrapText="1"/>
      <protection hidden="1"/>
    </xf>
    <xf numFmtId="164" fontId="1" fillId="0" borderId="0" xfId="0" applyFont="1" applyAlignment="1" applyProtection="1">
      <alignment horizontal="left"/>
      <protection hidden="1"/>
    </xf>
    <xf numFmtId="164" fontId="1" fillId="0" borderId="0" xfId="0" applyFont="1" applyAlignment="1" applyProtection="1">
      <alignment horizontal="right" wrapText="1"/>
      <protection hidden="1"/>
    </xf>
    <xf numFmtId="164" fontId="1" fillId="0" borderId="0" xfId="0" applyFont="1" applyAlignment="1" applyProtection="1">
      <alignment horizontal="right"/>
      <protection hidden="1"/>
    </xf>
    <xf numFmtId="165" fontId="1" fillId="0" borderId="0" xfId="0" applyNumberFormat="1" applyFont="1" applyAlignment="1" applyProtection="1">
      <alignment horizontal="right" vertical="center"/>
      <protection hidden="1"/>
    </xf>
    <xf numFmtId="166" fontId="1" fillId="0" borderId="0" xfId="0" applyNumberFormat="1" applyFont="1" applyAlignment="1" applyProtection="1">
      <alignment horizontal="right" vertical="center"/>
      <protection hidden="1"/>
    </xf>
    <xf numFmtId="164" fontId="1" fillId="0" borderId="1" xfId="0" applyFont="1" applyBorder="1" applyAlignment="1" applyProtection="1">
      <alignment horizontal="left" vertical="center"/>
      <protection hidden="1"/>
    </xf>
    <xf numFmtId="167" fontId="1" fillId="0" borderId="1" xfId="0" applyNumberFormat="1" applyFont="1" applyBorder="1" applyAlignment="1" applyProtection="1">
      <alignment horizontal="left" vertical="center" wrapText="1"/>
      <protection hidden="1"/>
    </xf>
    <xf numFmtId="164" fontId="1" fillId="0" borderId="1" xfId="0" applyFont="1" applyBorder="1" applyAlignment="1" applyProtection="1">
      <alignment horizontal="right" vertical="center" wrapText="1"/>
      <protection hidden="1"/>
    </xf>
    <xf numFmtId="166" fontId="1" fillId="0" borderId="1" xfId="0" applyNumberFormat="1" applyFont="1" applyBorder="1" applyAlignment="1" applyProtection="1">
      <alignment horizontal="right" vertical="center"/>
      <protection hidden="1"/>
    </xf>
    <xf numFmtId="164" fontId="0" fillId="0" borderId="1" xfId="0" applyFont="1" applyBorder="1" applyAlignment="1" applyProtection="1">
      <alignment horizontal="left" vertical="center" wrapText="1"/>
      <protection hidden="1"/>
    </xf>
    <xf numFmtId="165" fontId="0" fillId="2" borderId="1" xfId="0" applyNumberFormat="1" applyFont="1" applyFill="1" applyBorder="1" applyAlignment="1" applyProtection="1">
      <alignment horizontal="right" vertical="center"/>
      <protection locked="0"/>
    </xf>
    <xf numFmtId="165" fontId="1" fillId="0" borderId="1" xfId="0" applyNumberFormat="1" applyFont="1" applyBorder="1" applyAlignment="1" applyProtection="1">
      <alignment horizontal="right" vertical="center"/>
      <protection hidden="1"/>
    </xf>
    <xf numFmtId="167" fontId="0" fillId="0" borderId="1" xfId="0" applyNumberFormat="1" applyFont="1" applyBorder="1" applyAlignment="1" applyProtection="1">
      <alignment horizontal="left" vertical="center" wrapText="1"/>
      <protection hidden="1"/>
    </xf>
    <xf numFmtId="167" fontId="0" fillId="0" borderId="1" xfId="0" applyNumberFormat="1" applyFont="1" applyBorder="1" applyAlignment="1" applyProtection="1">
      <alignment vertical="center" wrapText="1"/>
      <protection hidden="1"/>
    </xf>
    <xf numFmtId="165" fontId="0" fillId="2" borderId="1" xfId="0" applyNumberFormat="1" applyFont="1" applyFill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1" xfId="0" applyFont="1" applyBorder="1" applyAlignment="1" applyProtection="1">
      <alignment vertical="center" wrapText="1"/>
      <protection hidden="1"/>
    </xf>
    <xf numFmtId="164" fontId="1" fillId="0" borderId="1" xfId="0" applyFont="1" applyBorder="1" applyAlignment="1" applyProtection="1">
      <alignment horizontal="left"/>
      <protection hidden="1"/>
    </xf>
    <xf numFmtId="164" fontId="2" fillId="0" borderId="1" xfId="0" applyFont="1" applyBorder="1" applyAlignment="1" applyProtection="1">
      <alignment horizontal="left" vertical="center" wrapText="1"/>
      <protection hidden="1"/>
    </xf>
    <xf numFmtId="166" fontId="3" fillId="0" borderId="1" xfId="0" applyNumberFormat="1" applyFont="1" applyBorder="1" applyAlignment="1" applyProtection="1">
      <alignment horizontal="right" vertical="center"/>
      <protection hidden="1"/>
    </xf>
    <xf numFmtId="164" fontId="0" fillId="0" borderId="0" xfId="0" applyNumberFormat="1" applyFont="1" applyAlignment="1" applyProtection="1">
      <alignment horizontal="right" vertical="center" wrapText="1"/>
      <protection hidden="1"/>
    </xf>
    <xf numFmtId="164" fontId="0" fillId="0" borderId="0" xfId="0" applyNumberFormat="1" applyFont="1" applyAlignment="1" applyProtection="1">
      <alignment horizontal="right" wrapText="1"/>
      <protection hidden="1"/>
    </xf>
    <xf numFmtId="166" fontId="1" fillId="0" borderId="1" xfId="0" applyNumberFormat="1" applyFont="1" applyBorder="1" applyAlignment="1" applyProtection="1">
      <alignment vertical="center"/>
      <protection hidden="1"/>
    </xf>
    <xf numFmtId="164" fontId="0" fillId="0" borderId="1" xfId="0" applyNumberFormat="1" applyFont="1" applyBorder="1" applyAlignment="1" applyProtection="1">
      <alignment horizontal="left" vertical="center" wrapText="1"/>
      <protection hidden="1"/>
    </xf>
    <xf numFmtId="164" fontId="0" fillId="0" borderId="1" xfId="0" applyFont="1" applyBorder="1" applyAlignment="1" applyProtection="1">
      <alignment horizontal="left" vertical="center"/>
      <protection hidden="1"/>
    </xf>
    <xf numFmtId="164" fontId="0" fillId="0" borderId="1" xfId="0" applyBorder="1" applyAlignment="1" applyProtection="1">
      <alignment horizontal="left"/>
      <protection hidden="1"/>
    </xf>
    <xf numFmtId="164" fontId="1" fillId="0" borderId="1" xfId="0" applyFont="1" applyBorder="1" applyAlignment="1" applyProtection="1">
      <alignment horizontal="left" vertical="center" wrapText="1"/>
      <protection hidden="1"/>
    </xf>
    <xf numFmtId="165" fontId="1" fillId="0" borderId="1" xfId="0" applyNumberFormat="1" applyFont="1" applyBorder="1" applyAlignment="1" applyProtection="1">
      <alignment horizontal="right" vertical="center" wrapText="1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4" fontId="1" fillId="0" borderId="1" xfId="0" applyFont="1" applyBorder="1" applyAlignment="1" applyProtection="1">
      <alignment horizontal="center" vertical="center" wrapText="1"/>
      <protection hidden="1"/>
    </xf>
    <xf numFmtId="164" fontId="0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1" xfId="0" applyFont="1" applyBorder="1" applyAlignment="1" applyProtection="1">
      <alignment vertical="center"/>
      <protection hidden="1"/>
    </xf>
    <xf numFmtId="167" fontId="1" fillId="0" borderId="1" xfId="0" applyNumberFormat="1" applyFont="1" applyBorder="1" applyAlignment="1" applyProtection="1">
      <alignment vertical="center" wrapText="1"/>
      <protection hidden="1"/>
    </xf>
    <xf numFmtId="164" fontId="4" fillId="0" borderId="1" xfId="0" applyFont="1" applyBorder="1" applyAlignment="1" applyProtection="1">
      <alignment horizontal="right" vertical="center" wrapText="1"/>
      <protection hidden="1"/>
    </xf>
    <xf numFmtId="166" fontId="2" fillId="0" borderId="1" xfId="0" applyNumberFormat="1" applyFont="1" applyBorder="1" applyAlignment="1" applyProtection="1">
      <alignment horizontal="right" vertical="center"/>
      <protection hidden="1"/>
    </xf>
    <xf numFmtId="165" fontId="0" fillId="3" borderId="1" xfId="0" applyNumberFormat="1" applyFont="1" applyFill="1" applyBorder="1" applyAlignment="1" applyProtection="1">
      <alignment vertical="center"/>
      <protection hidden="1"/>
    </xf>
    <xf numFmtId="165" fontId="0" fillId="0" borderId="1" xfId="0" applyNumberFormat="1" applyFont="1" applyBorder="1" applyAlignment="1" applyProtection="1">
      <alignment vertical="center"/>
      <protection hidden="1"/>
    </xf>
    <xf numFmtId="166" fontId="0" fillId="0" borderId="1" xfId="0" applyNumberFormat="1" applyFont="1" applyBorder="1" applyAlignment="1" applyProtection="1">
      <alignment vertical="center"/>
      <protection hidden="1"/>
    </xf>
    <xf numFmtId="164" fontId="2" fillId="0" borderId="1" xfId="0" applyFont="1" applyBorder="1" applyAlignment="1" applyProtection="1">
      <alignment vertical="center" wrapText="1"/>
      <protection hidden="1"/>
    </xf>
    <xf numFmtId="165" fontId="1" fillId="0" borderId="1" xfId="0" applyNumberFormat="1" applyFont="1" applyBorder="1" applyAlignment="1" applyProtection="1">
      <alignment vertical="center" wrapText="1"/>
      <protection hidden="1"/>
    </xf>
    <xf numFmtId="164" fontId="0" fillId="0" borderId="0" xfId="0" applyFont="1" applyAlignment="1" applyProtection="1">
      <alignment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1" xfId="0" applyFont="1" applyBorder="1" applyAlignment="1" applyProtection="1">
      <alignment horizontal="center" vertical="center" wrapText="1"/>
      <protection hidden="1"/>
    </xf>
    <xf numFmtId="165" fontId="1" fillId="0" borderId="0" xfId="0" applyNumberFormat="1" applyFont="1" applyAlignment="1" applyProtection="1">
      <alignment horizontal="right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  <xf numFmtId="164" fontId="1" fillId="0" borderId="0" xfId="0" applyFont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left" vertical="center" wrapText="1"/>
      <protection hidden="1"/>
    </xf>
    <xf numFmtId="165" fontId="1" fillId="0" borderId="0" xfId="0" applyNumberFormat="1" applyFont="1" applyBorder="1" applyAlignment="1" applyProtection="1">
      <alignment horizontal="right" vertical="center" wrapText="1"/>
      <protection hidden="1"/>
    </xf>
    <xf numFmtId="165" fontId="1" fillId="0" borderId="1" xfId="0" applyNumberFormat="1" applyFont="1" applyBorder="1" applyAlignment="1" applyProtection="1">
      <alignment horizontal="left" vertical="center" wrapText="1"/>
      <protection hidden="1"/>
    </xf>
    <xf numFmtId="164" fontId="0" fillId="0" borderId="0" xfId="0" applyBorder="1" applyAlignment="1" applyProtection="1">
      <alignment horizontal="left"/>
      <protection hidden="1"/>
    </xf>
    <xf numFmtId="165" fontId="1" fillId="0" borderId="0" xfId="0" applyNumberFormat="1" applyFont="1" applyBorder="1" applyAlignment="1" applyProtection="1">
      <alignment horizontal="left" vertical="center" wrapText="1"/>
      <protection hidden="1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right" wrapText="1"/>
    </xf>
    <xf numFmtId="164" fontId="1" fillId="0" borderId="0" xfId="0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165" fontId="0" fillId="0" borderId="0" xfId="0" applyNumberFormat="1" applyFont="1" applyAlignment="1">
      <alignment wrapText="1"/>
    </xf>
    <xf numFmtId="164" fontId="1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64" fontId="1" fillId="0" borderId="0" xfId="0" applyFont="1" applyAlignment="1">
      <alignment horizontal="center" wrapText="1"/>
    </xf>
    <xf numFmtId="164" fontId="0" fillId="0" borderId="0" xfId="0" applyFont="1" applyAlignment="1">
      <alignment vertical="center"/>
    </xf>
    <xf numFmtId="167" fontId="1" fillId="0" borderId="0" xfId="0" applyNumberFormat="1" applyFont="1" applyAlignment="1">
      <alignment horizontal="center" vertical="center" wrapText="1"/>
    </xf>
    <xf numFmtId="167" fontId="1" fillId="0" borderId="0" xfId="0" applyNumberFormat="1" applyFont="1" applyAlignment="1">
      <alignment vertical="center" wrapText="1"/>
    </xf>
    <xf numFmtId="164" fontId="5" fillId="0" borderId="0" xfId="0" applyFont="1" applyAlignment="1">
      <alignment/>
    </xf>
    <xf numFmtId="164" fontId="6" fillId="0" borderId="0" xfId="0" applyFont="1" applyAlignment="1">
      <alignment horizontal="left"/>
    </xf>
    <xf numFmtId="164" fontId="6" fillId="0" borderId="0" xfId="0" applyFont="1" applyAlignment="1">
      <alignment horizontal="right" wrapText="1"/>
    </xf>
    <xf numFmtId="167" fontId="5" fillId="0" borderId="0" xfId="0" applyNumberFormat="1" applyFont="1" applyAlignment="1">
      <alignment horizontal="left" vertical="center" wrapText="1"/>
    </xf>
    <xf numFmtId="167" fontId="1" fillId="0" borderId="0" xfId="0" applyNumberFormat="1" applyFont="1" applyAlignment="1">
      <alignment horizontal="center" vertical="center"/>
    </xf>
    <xf numFmtId="167" fontId="0" fillId="0" borderId="0" xfId="0" applyNumberFormat="1" applyFont="1" applyAlignment="1">
      <alignment vertical="center" wrapText="1"/>
    </xf>
    <xf numFmtId="165" fontId="0" fillId="0" borderId="0" xfId="0" applyNumberFormat="1" applyFont="1" applyAlignment="1">
      <alignment vertical="center"/>
    </xf>
    <xf numFmtId="167" fontId="7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4" fontId="0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/>
    </xf>
    <xf numFmtId="167" fontId="3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7" fontId="3" fillId="0" borderId="0" xfId="0" applyNumberFormat="1" applyFont="1" applyAlignment="1">
      <alignment horizontal="left" vertical="center" wrapText="1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right"/>
    </xf>
    <xf numFmtId="164" fontId="1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4" fontId="1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vertical="center"/>
    </xf>
    <xf numFmtId="165" fontId="0" fillId="0" borderId="1" xfId="0" applyNumberFormat="1" applyBorder="1" applyAlignment="1">
      <alignment/>
    </xf>
    <xf numFmtId="164" fontId="4" fillId="0" borderId="1" xfId="0" applyFont="1" applyBorder="1" applyAlignment="1">
      <alignment horizontal="left" vertical="center" wrapText="1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>
      <alignment horizontal="right"/>
    </xf>
    <xf numFmtId="164" fontId="9" fillId="0" borderId="0" xfId="0" applyFont="1" applyAlignment="1">
      <alignment horizontal="left" wrapText="1" shrinkToFit="1"/>
    </xf>
    <xf numFmtId="164" fontId="9" fillId="0" borderId="0" xfId="0" applyFont="1" applyAlignment="1">
      <alignment horizontal="right" wrapText="1"/>
    </xf>
    <xf numFmtId="164" fontId="9" fillId="0" borderId="0" xfId="0" applyFont="1" applyAlignment="1">
      <alignment horizontal="right"/>
    </xf>
    <xf numFmtId="164" fontId="9" fillId="0" borderId="0" xfId="0" applyFont="1" applyAlignment="1">
      <alignment/>
    </xf>
    <xf numFmtId="164" fontId="8" fillId="0" borderId="0" xfId="0" applyFont="1" applyAlignment="1">
      <alignment horizontal="left" wrapText="1" shrinkToFit="1"/>
    </xf>
    <xf numFmtId="164" fontId="8" fillId="0" borderId="0" xfId="0" applyFont="1" applyAlignment="1">
      <alignment horizontal="right" wrapText="1"/>
    </xf>
    <xf numFmtId="168" fontId="8" fillId="0" borderId="0" xfId="0" applyNumberFormat="1" applyFont="1" applyAlignment="1">
      <alignment/>
    </xf>
    <xf numFmtId="166" fontId="8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 wrapText="1"/>
    </xf>
    <xf numFmtId="166" fontId="8" fillId="0" borderId="0" xfId="0" applyNumberFormat="1" applyFont="1" applyAlignment="1">
      <alignment horizontal="right" wrapText="1"/>
    </xf>
    <xf numFmtId="165" fontId="8" fillId="0" borderId="0" xfId="0" applyNumberFormat="1" applyFont="1" applyAlignment="1">
      <alignment horizontal="right" wrapText="1"/>
    </xf>
    <xf numFmtId="165" fontId="8" fillId="0" borderId="0" xfId="0" applyNumberFormat="1" applyFont="1" applyAlignment="1">
      <alignment/>
    </xf>
    <xf numFmtId="169" fontId="9" fillId="0" borderId="0" xfId="0" applyNumberFormat="1" applyFont="1" applyAlignment="1">
      <alignment horizontal="right" wrapText="1"/>
    </xf>
    <xf numFmtId="164" fontId="8" fillId="0" borderId="0" xfId="0" applyFont="1" applyAlignment="1">
      <alignment wrapText="1"/>
    </xf>
    <xf numFmtId="165" fontId="9" fillId="0" borderId="0" xfId="0" applyNumberFormat="1" applyFont="1" applyAlignment="1">
      <alignment horizontal="right"/>
    </xf>
    <xf numFmtId="164" fontId="10" fillId="0" borderId="0" xfId="0" applyFont="1" applyAlignment="1">
      <alignment wrapText="1"/>
    </xf>
    <xf numFmtId="165" fontId="11" fillId="0" borderId="0" xfId="0" applyNumberFormat="1" applyFont="1" applyAlignment="1">
      <alignment/>
    </xf>
    <xf numFmtId="164" fontId="12" fillId="0" borderId="0" xfId="0" applyFont="1" applyAlignment="1">
      <alignment/>
    </xf>
    <xf numFmtId="164" fontId="11" fillId="0" borderId="0" xfId="0" applyFont="1" applyAlignment="1">
      <alignment/>
    </xf>
    <xf numFmtId="164" fontId="14" fillId="0" borderId="0" xfId="0" applyFont="1" applyAlignment="1">
      <alignment/>
    </xf>
    <xf numFmtId="167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6D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="110" zoomScaleNormal="110" workbookViewId="0" topLeftCell="A1">
      <selection activeCell="D1" sqref="D1"/>
    </sheetView>
  </sheetViews>
  <sheetFormatPr defaultColWidth="9.140625" defaultRowHeight="12.75"/>
  <cols>
    <col min="1" max="1" width="34.7109375" style="1" customWidth="1"/>
    <col min="2" max="2" width="8.8515625" style="1" customWidth="1"/>
    <col min="3" max="3" width="11.28125" style="1" customWidth="1"/>
    <col min="4" max="4" width="31.7109375" style="2" customWidth="1"/>
    <col min="5" max="5" width="7.57421875" style="2" customWidth="1"/>
    <col min="6" max="6" width="7.8515625" style="2" customWidth="1"/>
    <col min="7" max="7" width="8.8515625" style="1" customWidth="1"/>
    <col min="8" max="8" width="11.421875" style="1" customWidth="1"/>
    <col min="9" max="9" width="11.28125" style="1" customWidth="1"/>
    <col min="10" max="10" width="11.8515625" style="1" customWidth="1"/>
    <col min="11" max="11" width="11.421875" style="1" customWidth="1"/>
    <col min="12" max="12" width="11.57421875" style="1" customWidth="1"/>
    <col min="13" max="13" width="12.7109375" style="1" customWidth="1"/>
    <col min="14" max="14" width="12.421875" style="1" customWidth="1"/>
    <col min="15" max="16384" width="11.57421875" style="1" customWidth="1"/>
  </cols>
  <sheetData>
    <row r="1" spans="1:14" ht="20.25" customHeight="1">
      <c r="A1" s="3" t="s">
        <v>0</v>
      </c>
      <c r="B1" s="3"/>
      <c r="C1" s="4" t="s">
        <v>1</v>
      </c>
      <c r="D1" s="5"/>
      <c r="E1" s="5"/>
      <c r="F1" s="5"/>
      <c r="G1" s="5"/>
      <c r="H1" s="5"/>
      <c r="I1" s="6"/>
      <c r="J1" s="7"/>
      <c r="K1" s="7"/>
      <c r="L1" s="7"/>
      <c r="M1" s="7"/>
      <c r="N1" s="7"/>
    </row>
    <row r="2" spans="1:14" ht="12.75">
      <c r="A2" s="8"/>
      <c r="B2" s="8"/>
      <c r="C2" s="9"/>
      <c r="D2" s="10" t="s">
        <v>2</v>
      </c>
      <c r="E2" s="11">
        <f>E18+E49+E90+E132+E6</f>
        <v>0</v>
      </c>
      <c r="F2" s="11"/>
      <c r="G2" s="6"/>
      <c r="H2" s="6"/>
      <c r="I2" s="6"/>
      <c r="J2" s="7"/>
      <c r="K2" s="7"/>
      <c r="L2" s="7"/>
      <c r="M2" s="7"/>
      <c r="N2" s="7"/>
    </row>
    <row r="3" spans="1:14" ht="12.75">
      <c r="A3" s="8"/>
      <c r="B3" s="8"/>
      <c r="C3" s="9"/>
      <c r="D3" s="10" t="s">
        <v>3</v>
      </c>
      <c r="E3" s="12">
        <f>F26+F24+F57+F59+F98+F100+F140+F142</f>
        <v>35360</v>
      </c>
      <c r="F3" s="12"/>
      <c r="G3" s="6"/>
      <c r="H3" s="6"/>
      <c r="I3" s="6"/>
      <c r="J3" s="7"/>
      <c r="K3" s="7"/>
      <c r="L3" s="7"/>
      <c r="M3" s="7"/>
      <c r="N3" s="7"/>
    </row>
    <row r="4" spans="1:14" ht="12.75">
      <c r="A4" s="8"/>
      <c r="B4" s="8"/>
      <c r="C4" s="9"/>
      <c r="D4" s="10"/>
      <c r="E4" s="12"/>
      <c r="F4" s="6"/>
      <c r="G4" s="6"/>
      <c r="H4" s="6"/>
      <c r="I4" s="6"/>
      <c r="J4" s="7"/>
      <c r="K4" s="7"/>
      <c r="L4" s="7"/>
      <c r="M4" s="7"/>
      <c r="N4" s="7"/>
    </row>
    <row r="5" spans="1:14" ht="24">
      <c r="A5" s="13" t="s">
        <v>4</v>
      </c>
      <c r="B5" s="13"/>
      <c r="C5" s="14" t="s">
        <v>5</v>
      </c>
      <c r="D5" s="15" t="s">
        <v>6</v>
      </c>
      <c r="E5" s="16" t="s">
        <v>7</v>
      </c>
      <c r="F5" s="16"/>
      <c r="G5" s="6"/>
      <c r="H5" s="6"/>
      <c r="I5" s="6"/>
      <c r="J5" s="7"/>
      <c r="K5" s="7"/>
      <c r="L5" s="7"/>
      <c r="M5" s="7"/>
      <c r="N5" s="7"/>
    </row>
    <row r="6" spans="1:14" ht="27" customHeight="1">
      <c r="A6" s="17" t="s">
        <v>8</v>
      </c>
      <c r="B6" s="17"/>
      <c r="C6" s="17" t="s">
        <v>9</v>
      </c>
      <c r="D6" s="18">
        <v>0</v>
      </c>
      <c r="E6" s="19">
        <f>D6*7</f>
        <v>0</v>
      </c>
      <c r="F6" s="19"/>
      <c r="G6" s="6"/>
      <c r="H6" s="6"/>
      <c r="I6" s="6"/>
      <c r="J6" s="7"/>
      <c r="K6" s="7"/>
      <c r="L6" s="7"/>
      <c r="M6" s="7"/>
      <c r="N6" s="7"/>
    </row>
    <row r="7" spans="1:14" ht="14.25" customHeight="1">
      <c r="A7" s="20" t="s">
        <v>10</v>
      </c>
      <c r="B7" s="20"/>
      <c r="C7" s="21" t="s">
        <v>11</v>
      </c>
      <c r="D7" s="22">
        <v>0</v>
      </c>
      <c r="E7" s="23"/>
      <c r="F7" s="24"/>
      <c r="G7" s="6"/>
      <c r="H7" s="6"/>
      <c r="I7" s="6"/>
      <c r="J7" s="7"/>
      <c r="K7" s="7"/>
      <c r="L7" s="7"/>
      <c r="M7" s="7"/>
      <c r="N7" s="7"/>
    </row>
    <row r="8" spans="1:14" ht="27" customHeight="1">
      <c r="A8" s="17" t="s">
        <v>12</v>
      </c>
      <c r="B8" s="17"/>
      <c r="C8" s="21" t="s">
        <v>11</v>
      </c>
      <c r="D8" s="22">
        <v>0</v>
      </c>
      <c r="E8" s="23"/>
      <c r="F8" s="24"/>
      <c r="G8" s="6"/>
      <c r="H8" s="6"/>
      <c r="I8" s="6"/>
      <c r="J8" s="7"/>
      <c r="K8" s="7"/>
      <c r="L8" s="7"/>
      <c r="M8" s="7"/>
      <c r="N8" s="7"/>
    </row>
    <row r="9" spans="1:14" ht="27" customHeight="1">
      <c r="A9" s="17" t="s">
        <v>13</v>
      </c>
      <c r="B9" s="17"/>
      <c r="C9" s="25" t="s">
        <v>14</v>
      </c>
      <c r="D9" s="22">
        <v>0</v>
      </c>
      <c r="E9" s="23"/>
      <c r="F9" s="24"/>
      <c r="G9" s="6"/>
      <c r="H9" s="6"/>
      <c r="I9" s="6"/>
      <c r="J9" s="7"/>
      <c r="K9" s="7"/>
      <c r="L9" s="7"/>
      <c r="M9" s="7"/>
      <c r="N9" s="7"/>
    </row>
    <row r="10" spans="1:14" ht="15" customHeight="1">
      <c r="A10" s="17" t="s">
        <v>15</v>
      </c>
      <c r="B10" s="17"/>
      <c r="C10" s="21" t="s">
        <v>11</v>
      </c>
      <c r="D10" s="22">
        <v>0</v>
      </c>
      <c r="E10" s="23"/>
      <c r="F10" s="24"/>
      <c r="G10" s="6"/>
      <c r="H10" s="6"/>
      <c r="I10" s="6"/>
      <c r="J10" s="7"/>
      <c r="K10" s="7"/>
      <c r="L10" s="7"/>
      <c r="M10" s="7"/>
      <c r="N10" s="7"/>
    </row>
    <row r="11" spans="1:14" ht="12.75">
      <c r="A11" s="8"/>
      <c r="B11" s="8"/>
      <c r="C11" s="9"/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</row>
    <row r="12" spans="1:14" ht="12.75">
      <c r="A12" s="26" t="s">
        <v>16</v>
      </c>
      <c r="B12" s="13" t="s">
        <v>17</v>
      </c>
      <c r="C12" s="13"/>
      <c r="D12" s="13"/>
      <c r="E12" s="13"/>
      <c r="F12" s="13"/>
      <c r="G12" s="9"/>
      <c r="H12" s="6"/>
      <c r="I12" s="6"/>
      <c r="J12" s="6"/>
      <c r="K12" s="6"/>
      <c r="L12" s="6"/>
      <c r="M12" s="6"/>
      <c r="N12" s="6"/>
    </row>
    <row r="13" spans="1:14" ht="12.75" customHeight="1">
      <c r="A13" s="27" t="s">
        <v>18</v>
      </c>
      <c r="B13" s="27"/>
      <c r="C13" s="27"/>
      <c r="D13" s="27"/>
      <c r="E13" s="27"/>
      <c r="F13" s="28">
        <v>560</v>
      </c>
      <c r="G13" s="6"/>
      <c r="H13" s="29"/>
      <c r="I13" s="29"/>
      <c r="J13" s="29"/>
      <c r="K13" s="29"/>
      <c r="L13" s="29"/>
      <c r="M13" s="29"/>
      <c r="N13" s="29"/>
    </row>
    <row r="14" spans="1:14" ht="24" customHeight="1">
      <c r="A14" s="25" t="s">
        <v>19</v>
      </c>
      <c r="B14" s="25"/>
      <c r="C14" s="25"/>
      <c r="D14" s="25"/>
      <c r="E14" s="25"/>
      <c r="F14" s="28">
        <f>15000+F13*2</f>
        <v>16120</v>
      </c>
      <c r="G14" s="6"/>
      <c r="H14" s="29"/>
      <c r="I14" s="30"/>
      <c r="J14" s="30"/>
      <c r="K14" s="30"/>
      <c r="L14" s="30"/>
      <c r="M14" s="30"/>
      <c r="N14" s="30"/>
    </row>
    <row r="15" spans="1:14" ht="12.75" customHeight="1">
      <c r="A15" s="17" t="s">
        <v>20</v>
      </c>
      <c r="B15" s="17"/>
      <c r="C15" s="17"/>
      <c r="D15" s="17"/>
      <c r="E15" s="17"/>
      <c r="F15" s="31">
        <f>F14*0.1</f>
        <v>1612</v>
      </c>
      <c r="G15" s="6"/>
      <c r="H15" s="29"/>
      <c r="I15" s="30"/>
      <c r="J15" s="30"/>
      <c r="K15" s="30"/>
      <c r="L15" s="30"/>
      <c r="M15" s="30"/>
      <c r="N15" s="30"/>
    </row>
    <row r="16" spans="1:14" ht="37.5" customHeight="1">
      <c r="A16" s="32" t="s">
        <v>21</v>
      </c>
      <c r="B16" s="32"/>
      <c r="C16" s="32"/>
      <c r="D16" s="32"/>
      <c r="E16" s="32"/>
      <c r="F16" s="28">
        <f>INT((F14-F15)/700)*100</f>
        <v>2000</v>
      </c>
      <c r="G16" s="6"/>
      <c r="H16" s="29"/>
      <c r="I16" s="30"/>
      <c r="J16" s="30"/>
      <c r="K16" s="30"/>
      <c r="L16" s="30"/>
      <c r="M16" s="30"/>
      <c r="N16" s="30"/>
    </row>
    <row r="17" spans="1:14" ht="12.75">
      <c r="A17" s="33" t="s">
        <v>22</v>
      </c>
      <c r="B17" s="33" t="s">
        <v>23</v>
      </c>
      <c r="C17" s="33" t="s">
        <v>23</v>
      </c>
      <c r="D17" s="33" t="s">
        <v>23</v>
      </c>
      <c r="E17" s="34"/>
      <c r="F17" s="31">
        <f>F16</f>
        <v>2000</v>
      </c>
      <c r="G17" s="6"/>
      <c r="H17" s="6"/>
      <c r="I17" s="6"/>
      <c r="J17" s="6"/>
      <c r="K17" s="6"/>
      <c r="L17" s="6"/>
      <c r="M17" s="6"/>
      <c r="N17" s="6"/>
    </row>
    <row r="18" spans="1:14" ht="12.75" customHeight="1">
      <c r="A18" s="35" t="s">
        <v>24</v>
      </c>
      <c r="B18" s="35"/>
      <c r="C18" s="35"/>
      <c r="D18" s="35"/>
      <c r="E18" s="36">
        <f>SUM(H27:N27)+E6/4</f>
        <v>0</v>
      </c>
      <c r="F18" s="36"/>
      <c r="G18" s="6"/>
      <c r="H18" s="6"/>
      <c r="I18" s="6"/>
      <c r="J18" s="6"/>
      <c r="K18" s="6"/>
      <c r="L18" s="6"/>
      <c r="M18" s="6"/>
      <c r="N18" s="6"/>
    </row>
    <row r="19" spans="1:14" ht="12.75" customHeight="1">
      <c r="A19" s="37"/>
      <c r="B19" s="37"/>
      <c r="C19" s="37"/>
      <c r="D19" s="37"/>
      <c r="E19" s="37"/>
      <c r="F19" s="37"/>
      <c r="G19" s="24"/>
      <c r="H19" s="38" t="s">
        <v>25</v>
      </c>
      <c r="I19" s="38"/>
      <c r="J19" s="38"/>
      <c r="K19" s="38"/>
      <c r="L19" s="38"/>
      <c r="M19" s="38"/>
      <c r="N19" s="38"/>
    </row>
    <row r="20" spans="1:14" ht="12.75">
      <c r="A20" s="37"/>
      <c r="B20" s="37"/>
      <c r="C20" s="37"/>
      <c r="D20" s="37"/>
      <c r="E20" s="37"/>
      <c r="F20" s="37"/>
      <c r="G20" s="24"/>
      <c r="H20" s="39">
        <v>1</v>
      </c>
      <c r="I20" s="39">
        <v>2</v>
      </c>
      <c r="J20" s="39">
        <v>3</v>
      </c>
      <c r="K20" s="39">
        <v>4</v>
      </c>
      <c r="L20" s="39">
        <v>5</v>
      </c>
      <c r="M20" s="39">
        <v>6</v>
      </c>
      <c r="N20" s="39">
        <v>7</v>
      </c>
    </row>
    <row r="21" spans="1:14" ht="34.5">
      <c r="A21" s="40" t="s">
        <v>4</v>
      </c>
      <c r="B21" s="13" t="s">
        <v>26</v>
      </c>
      <c r="C21" s="13"/>
      <c r="D21" s="13"/>
      <c r="E21" s="41" t="s">
        <v>5</v>
      </c>
      <c r="F21" s="15" t="s">
        <v>27</v>
      </c>
      <c r="G21" s="15" t="s">
        <v>6</v>
      </c>
      <c r="H21" s="15" t="s">
        <v>28</v>
      </c>
      <c r="I21" s="15" t="s">
        <v>29</v>
      </c>
      <c r="J21" s="42" t="s">
        <v>30</v>
      </c>
      <c r="K21" s="42" t="s">
        <v>31</v>
      </c>
      <c r="L21" s="42" t="s">
        <v>32</v>
      </c>
      <c r="M21" s="42" t="s">
        <v>33</v>
      </c>
      <c r="N21" s="42" t="s">
        <v>34</v>
      </c>
    </row>
    <row r="22" spans="1:14" ht="27" customHeight="1">
      <c r="A22" s="21" t="s">
        <v>35</v>
      </c>
      <c r="B22" s="20" t="s">
        <v>36</v>
      </c>
      <c r="C22" s="20"/>
      <c r="D22" s="20"/>
      <c r="E22" s="21" t="s">
        <v>11</v>
      </c>
      <c r="F22" s="43">
        <f>F14</f>
        <v>16120</v>
      </c>
      <c r="G22" s="44">
        <f aca="true" t="shared" si="0" ref="G22:G23">D7</f>
        <v>0</v>
      </c>
      <c r="H22" s="45">
        <f aca="true" t="shared" si="1" ref="H22:H23">F22*G22</f>
        <v>0</v>
      </c>
      <c r="I22" s="45">
        <f>H22-F25*$G$22</f>
        <v>0</v>
      </c>
      <c r="J22" s="45">
        <f>I22-$F25*$G$22</f>
        <v>0</v>
      </c>
      <c r="K22" s="45">
        <f>J22-$F25*$G$22</f>
        <v>0</v>
      </c>
      <c r="L22" s="45">
        <f>K22-$F25*$G$22</f>
        <v>0</v>
      </c>
      <c r="M22" s="45">
        <f>L22-$F25*$G$22</f>
        <v>0</v>
      </c>
      <c r="N22" s="45">
        <f>M22-$F25*$G$22</f>
        <v>0</v>
      </c>
    </row>
    <row r="23" spans="1:14" ht="24" customHeight="1">
      <c r="A23" s="25" t="s">
        <v>37</v>
      </c>
      <c r="B23" s="20" t="s">
        <v>18</v>
      </c>
      <c r="C23" s="20"/>
      <c r="D23" s="20"/>
      <c r="E23" s="21" t="s">
        <v>11</v>
      </c>
      <c r="F23" s="43">
        <v>560</v>
      </c>
      <c r="G23" s="44">
        <f t="shared" si="0"/>
        <v>0</v>
      </c>
      <c r="H23" s="45">
        <f t="shared" si="1"/>
        <v>0</v>
      </c>
      <c r="I23" s="45">
        <f>H23</f>
        <v>0</v>
      </c>
      <c r="J23" s="45">
        <f>I23</f>
        <v>0</v>
      </c>
      <c r="K23" s="45">
        <f>J23</f>
        <v>0</v>
      </c>
      <c r="L23" s="45">
        <f>K23</f>
        <v>0</v>
      </c>
      <c r="M23" s="45">
        <f>L23</f>
        <v>0</v>
      </c>
      <c r="N23" s="45">
        <f>M23</f>
        <v>0</v>
      </c>
    </row>
    <row r="24" spans="1:14" ht="25.5" customHeight="1">
      <c r="A24" s="25" t="s">
        <v>13</v>
      </c>
      <c r="B24" s="20" t="s">
        <v>38</v>
      </c>
      <c r="C24" s="20"/>
      <c r="D24" s="20"/>
      <c r="E24" s="25" t="s">
        <v>14</v>
      </c>
      <c r="F24" s="46">
        <f>F23</f>
        <v>560</v>
      </c>
      <c r="G24" s="44">
        <f>D8</f>
        <v>0</v>
      </c>
      <c r="H24" s="45">
        <v>0</v>
      </c>
      <c r="I24" s="45">
        <f>$F$24*H20*$G$24</f>
        <v>0</v>
      </c>
      <c r="J24" s="45">
        <f>$F$24*I20*$G$24</f>
        <v>0</v>
      </c>
      <c r="K24" s="45">
        <f>$F$24*J20*$G$24</f>
        <v>0</v>
      </c>
      <c r="L24" s="45">
        <f>$F$24*K20*$G$24</f>
        <v>0</v>
      </c>
      <c r="M24" s="45">
        <f>$F$24*L20*$G$24</f>
        <v>0</v>
      </c>
      <c r="N24" s="45">
        <f>$F$24*M20*$G$24</f>
        <v>0</v>
      </c>
    </row>
    <row r="25" spans="1:14" ht="57" customHeight="1">
      <c r="A25" s="47" t="s">
        <v>39</v>
      </c>
      <c r="B25" s="32" t="s">
        <v>40</v>
      </c>
      <c r="C25" s="32"/>
      <c r="D25" s="32"/>
      <c r="E25" s="21" t="s">
        <v>11</v>
      </c>
      <c r="F25" s="46">
        <f aca="true" t="shared" si="2" ref="F25:F26">F16</f>
        <v>2000</v>
      </c>
      <c r="G25" s="45">
        <f>G23</f>
        <v>0</v>
      </c>
      <c r="H25" s="45">
        <f>F25*G25</f>
        <v>0</v>
      </c>
      <c r="I25" s="45">
        <f>H25</f>
        <v>0</v>
      </c>
      <c r="J25" s="45">
        <f>I25</f>
        <v>0</v>
      </c>
      <c r="K25" s="45">
        <f>J25</f>
        <v>0</v>
      </c>
      <c r="L25" s="45">
        <f>K25</f>
        <v>0</v>
      </c>
      <c r="M25" s="45">
        <f>L25</f>
        <v>0</v>
      </c>
      <c r="N25" s="45">
        <f>M25</f>
        <v>0</v>
      </c>
    </row>
    <row r="26" spans="1:14" ht="34.5">
      <c r="A26" s="25" t="s">
        <v>41</v>
      </c>
      <c r="B26" s="33" t="s">
        <v>23</v>
      </c>
      <c r="C26" s="33"/>
      <c r="D26" s="33"/>
      <c r="E26" s="25" t="s">
        <v>14</v>
      </c>
      <c r="F26" s="46">
        <f t="shared" si="2"/>
        <v>2000</v>
      </c>
      <c r="G26" s="45">
        <f>D9</f>
        <v>0</v>
      </c>
      <c r="H26" s="45">
        <v>0</v>
      </c>
      <c r="I26" s="45">
        <f>$F26*$G26+H26</f>
        <v>0</v>
      </c>
      <c r="J26" s="45">
        <f>$F26*$G26+I26</f>
        <v>0</v>
      </c>
      <c r="K26" s="45">
        <f>$F26*$G26+J26</f>
        <v>0</v>
      </c>
      <c r="L26" s="45">
        <f>$F26*$G26+K26</f>
        <v>0</v>
      </c>
      <c r="M26" s="45">
        <f>$F26*$G26+L26</f>
        <v>0</v>
      </c>
      <c r="N26" s="45">
        <f>$F26*$G26+M26</f>
        <v>0</v>
      </c>
    </row>
    <row r="27" spans="1:14" ht="12.75" customHeight="1">
      <c r="A27" s="15" t="s">
        <v>42</v>
      </c>
      <c r="B27" s="15"/>
      <c r="C27" s="15"/>
      <c r="D27" s="15"/>
      <c r="E27" s="15"/>
      <c r="F27" s="15"/>
      <c r="G27" s="15"/>
      <c r="H27" s="48">
        <f>SUM(H22:H26)</f>
        <v>0</v>
      </c>
      <c r="I27" s="48">
        <f>SUM(I22:I26)</f>
        <v>0</v>
      </c>
      <c r="J27" s="48">
        <f>SUM(J22:J26)</f>
        <v>0</v>
      </c>
      <c r="K27" s="48">
        <f>SUM(K22:K26)</f>
        <v>0</v>
      </c>
      <c r="L27" s="48">
        <f>SUM(L22:L26)</f>
        <v>0</v>
      </c>
      <c r="M27" s="48">
        <f>SUM(M22:M26)</f>
        <v>0</v>
      </c>
      <c r="N27" s="48">
        <f>SUM(N22:N26)</f>
        <v>0</v>
      </c>
    </row>
    <row r="28" spans="1:14" ht="12.75">
      <c r="A28" s="49"/>
      <c r="B28" s="49"/>
      <c r="C28" s="50"/>
      <c r="D28" s="51"/>
      <c r="E28" s="51"/>
      <c r="F28" s="51"/>
      <c r="G28" s="50"/>
      <c r="H28" s="50"/>
      <c r="I28" s="50"/>
      <c r="J28" s="50"/>
      <c r="K28" s="50"/>
      <c r="L28" s="50"/>
      <c r="M28" s="50"/>
      <c r="N28" s="50"/>
    </row>
    <row r="29" spans="1:1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>
      <c r="A41" s="26" t="s">
        <v>43</v>
      </c>
      <c r="B41" s="13" t="s">
        <v>44</v>
      </c>
      <c r="C41" s="13"/>
      <c r="D41" s="13"/>
      <c r="E41" s="13"/>
      <c r="F41" s="13"/>
      <c r="G41" s="9"/>
      <c r="H41" s="6"/>
      <c r="I41" s="6"/>
      <c r="J41" s="6"/>
      <c r="K41" s="6"/>
      <c r="L41" s="6"/>
      <c r="M41" s="6"/>
      <c r="N41" s="6"/>
    </row>
    <row r="42" spans="1:14" ht="12.75" customHeight="1">
      <c r="A42" s="27" t="s">
        <v>18</v>
      </c>
      <c r="B42" s="27"/>
      <c r="C42" s="27"/>
      <c r="D42" s="27"/>
      <c r="E42" s="27"/>
      <c r="F42" s="28">
        <v>17000</v>
      </c>
      <c r="G42" s="6"/>
      <c r="H42" s="29"/>
      <c r="I42" s="29"/>
      <c r="J42" s="29"/>
      <c r="K42" s="29"/>
      <c r="L42" s="29"/>
      <c r="M42" s="29"/>
      <c r="N42" s="29"/>
    </row>
    <row r="43" spans="1:14" ht="12.75" customHeight="1">
      <c r="A43" s="27" t="s">
        <v>45</v>
      </c>
      <c r="B43" s="27"/>
      <c r="C43" s="27"/>
      <c r="D43" s="27"/>
      <c r="E43" s="27"/>
      <c r="F43" s="28">
        <v>39000</v>
      </c>
      <c r="G43" s="6"/>
      <c r="H43" s="29"/>
      <c r="I43" s="29"/>
      <c r="J43" s="29"/>
      <c r="K43" s="29"/>
      <c r="L43" s="29"/>
      <c r="M43" s="29"/>
      <c r="N43" s="29"/>
    </row>
    <row r="44" spans="1:14" ht="24" customHeight="1">
      <c r="A44" s="25" t="s">
        <v>19</v>
      </c>
      <c r="B44" s="25"/>
      <c r="C44" s="25"/>
      <c r="D44" s="25"/>
      <c r="E44" s="25"/>
      <c r="F44" s="28">
        <f>F43+F42*2</f>
        <v>73000</v>
      </c>
      <c r="G44" s="6"/>
      <c r="H44" s="29"/>
      <c r="I44" s="30"/>
      <c r="J44" s="30"/>
      <c r="K44" s="30"/>
      <c r="L44" s="30"/>
      <c r="M44" s="30"/>
      <c r="N44" s="30"/>
    </row>
    <row r="45" spans="1:14" ht="12.75" customHeight="1">
      <c r="A45" s="17" t="s">
        <v>20</v>
      </c>
      <c r="B45" s="17"/>
      <c r="C45" s="17"/>
      <c r="D45" s="17"/>
      <c r="E45" s="17"/>
      <c r="F45" s="31">
        <f>F44*0.1</f>
        <v>7300</v>
      </c>
      <c r="G45" s="6"/>
      <c r="H45" s="29"/>
      <c r="I45" s="30"/>
      <c r="J45" s="30"/>
      <c r="K45" s="30"/>
      <c r="L45" s="30"/>
      <c r="M45" s="30"/>
      <c r="N45" s="30"/>
    </row>
    <row r="46" spans="1:14" ht="34.5" customHeight="1">
      <c r="A46" s="32" t="s">
        <v>21</v>
      </c>
      <c r="B46" s="32"/>
      <c r="C46" s="32"/>
      <c r="D46" s="32"/>
      <c r="E46" s="32"/>
      <c r="F46" s="28">
        <f>INT((F55-F45)/700)*100</f>
        <v>9300</v>
      </c>
      <c r="G46" s="6"/>
      <c r="H46" s="29"/>
      <c r="I46" s="30"/>
      <c r="J46" s="30"/>
      <c r="K46" s="30"/>
      <c r="L46" s="30"/>
      <c r="M46" s="30"/>
      <c r="N46" s="30"/>
    </row>
    <row r="47" spans="1:14" ht="12.75">
      <c r="A47" s="33" t="s">
        <v>22</v>
      </c>
      <c r="B47" s="33" t="s">
        <v>23</v>
      </c>
      <c r="C47" s="33" t="s">
        <v>23</v>
      </c>
      <c r="D47" s="33" t="s">
        <v>23</v>
      </c>
      <c r="E47" s="33"/>
      <c r="F47" s="31">
        <f>F46</f>
        <v>9300</v>
      </c>
      <c r="G47" s="6"/>
      <c r="H47" s="6"/>
      <c r="I47" s="6"/>
      <c r="J47" s="6"/>
      <c r="K47" s="6"/>
      <c r="L47" s="6"/>
      <c r="M47" s="6"/>
      <c r="N47" s="6"/>
    </row>
    <row r="48" spans="1:14" ht="12.75">
      <c r="A48" s="52"/>
      <c r="B48" s="52"/>
      <c r="C48" s="52"/>
      <c r="D48" s="52"/>
      <c r="E48" s="52"/>
      <c r="F48" s="52"/>
      <c r="G48" s="6"/>
      <c r="H48" s="6"/>
      <c r="I48" s="6"/>
      <c r="J48" s="6"/>
      <c r="K48" s="6"/>
      <c r="L48" s="6"/>
      <c r="M48" s="6"/>
      <c r="N48" s="6"/>
    </row>
    <row r="49" spans="1:14" ht="12.75" customHeight="1">
      <c r="A49" s="35" t="s">
        <v>46</v>
      </c>
      <c r="B49" s="35"/>
      <c r="C49" s="35"/>
      <c r="D49" s="35"/>
      <c r="E49" s="36">
        <f>SUM(H60:N60)+E50+E6/4</f>
        <v>0</v>
      </c>
      <c r="F49" s="36"/>
      <c r="G49" s="6"/>
      <c r="H49" s="6"/>
      <c r="I49" s="7"/>
      <c r="J49" s="7"/>
      <c r="K49" s="7"/>
      <c r="L49" s="7"/>
      <c r="M49" s="7"/>
      <c r="N49" s="7"/>
    </row>
    <row r="50" spans="1:14" ht="12.75" customHeight="1">
      <c r="A50" s="38" t="s">
        <v>15</v>
      </c>
      <c r="B50" s="38"/>
      <c r="C50" s="38"/>
      <c r="D50" s="38"/>
      <c r="E50" s="36">
        <f>D10*F44</f>
        <v>0</v>
      </c>
      <c r="F50" s="36"/>
      <c r="G50" s="6"/>
      <c r="H50" s="6"/>
      <c r="I50" s="7"/>
      <c r="J50" s="7"/>
      <c r="K50" s="7"/>
      <c r="L50" s="7"/>
      <c r="M50" s="7"/>
      <c r="N50" s="7"/>
    </row>
    <row r="51" spans="1:14" ht="12.75">
      <c r="A51" s="4"/>
      <c r="B51" s="6"/>
      <c r="C51" s="53"/>
      <c r="D51" s="6"/>
      <c r="E51" s="53"/>
      <c r="F51" s="6"/>
      <c r="G51" s="6"/>
      <c r="H51" s="6"/>
      <c r="I51" s="7"/>
      <c r="J51" s="7"/>
      <c r="K51" s="7"/>
      <c r="L51" s="7"/>
      <c r="M51" s="7"/>
      <c r="N51" s="7"/>
    </row>
    <row r="52" spans="1:14" ht="12.75" customHeight="1">
      <c r="A52" s="6"/>
      <c r="B52" s="6"/>
      <c r="C52" s="6"/>
      <c r="D52" s="6"/>
      <c r="E52" s="6"/>
      <c r="F52" s="6"/>
      <c r="G52" s="24"/>
      <c r="H52" s="38" t="s">
        <v>25</v>
      </c>
      <c r="I52" s="38"/>
      <c r="J52" s="38"/>
      <c r="K52" s="38"/>
      <c r="L52" s="38"/>
      <c r="M52" s="38"/>
      <c r="N52" s="38"/>
    </row>
    <row r="53" spans="1:14" ht="12.75">
      <c r="A53" s="4"/>
      <c r="B53" s="53"/>
      <c r="C53" s="53"/>
      <c r="D53" s="6"/>
      <c r="E53" s="6"/>
      <c r="F53" s="6"/>
      <c r="G53" s="24"/>
      <c r="H53" s="39">
        <v>1</v>
      </c>
      <c r="I53" s="39">
        <v>2</v>
      </c>
      <c r="J53" s="39">
        <v>3</v>
      </c>
      <c r="K53" s="39">
        <v>4</v>
      </c>
      <c r="L53" s="39">
        <v>5</v>
      </c>
      <c r="M53" s="39">
        <v>6</v>
      </c>
      <c r="N53" s="39">
        <v>7</v>
      </c>
    </row>
    <row r="54" spans="1:14" ht="34.5">
      <c r="A54" s="40" t="s">
        <v>4</v>
      </c>
      <c r="B54" s="13" t="s">
        <v>26</v>
      </c>
      <c r="C54" s="13"/>
      <c r="D54" s="13"/>
      <c r="E54" s="41" t="s">
        <v>5</v>
      </c>
      <c r="F54" s="15" t="s">
        <v>27</v>
      </c>
      <c r="G54" s="15" t="s">
        <v>6</v>
      </c>
      <c r="H54" s="15" t="s">
        <v>28</v>
      </c>
      <c r="I54" s="15" t="s">
        <v>29</v>
      </c>
      <c r="J54" s="42" t="s">
        <v>30</v>
      </c>
      <c r="K54" s="42" t="s">
        <v>31</v>
      </c>
      <c r="L54" s="42" t="s">
        <v>32</v>
      </c>
      <c r="M54" s="42" t="s">
        <v>33</v>
      </c>
      <c r="N54" s="42" t="s">
        <v>34</v>
      </c>
    </row>
    <row r="55" spans="1:14" ht="34.5" customHeight="1">
      <c r="A55" s="21" t="s">
        <v>35</v>
      </c>
      <c r="B55" s="20" t="s">
        <v>36</v>
      </c>
      <c r="C55" s="20"/>
      <c r="D55" s="20"/>
      <c r="E55" s="21" t="s">
        <v>11</v>
      </c>
      <c r="F55" s="43">
        <f>F44</f>
        <v>73000</v>
      </c>
      <c r="G55" s="45">
        <f>$G$22</f>
        <v>0</v>
      </c>
      <c r="H55" s="45">
        <f aca="true" t="shared" si="3" ref="H55:H56">F55*G55</f>
        <v>0</v>
      </c>
      <c r="I55" s="45">
        <f>H55-F58*$G$22</f>
        <v>0</v>
      </c>
      <c r="J55" s="45">
        <f>I55-$F58*$G$22</f>
        <v>0</v>
      </c>
      <c r="K55" s="45">
        <f>J55-$F58*$G$22</f>
        <v>0</v>
      </c>
      <c r="L55" s="45">
        <f>K55-$F58*$G$22</f>
        <v>0</v>
      </c>
      <c r="M55" s="45">
        <f>L55-$F58*$G$22</f>
        <v>0</v>
      </c>
      <c r="N55" s="45">
        <f>M55-$F58*$G$22</f>
        <v>0</v>
      </c>
    </row>
    <row r="56" spans="1:14" ht="24" customHeight="1">
      <c r="A56" s="25" t="s">
        <v>37</v>
      </c>
      <c r="B56" s="20" t="s">
        <v>18</v>
      </c>
      <c r="C56" s="20"/>
      <c r="D56" s="20"/>
      <c r="E56" s="21" t="s">
        <v>11</v>
      </c>
      <c r="F56" s="43">
        <f>F42</f>
        <v>17000</v>
      </c>
      <c r="G56" s="45">
        <f>$G$23</f>
        <v>0</v>
      </c>
      <c r="H56" s="45">
        <f t="shared" si="3"/>
        <v>0</v>
      </c>
      <c r="I56" s="45">
        <f>H56</f>
        <v>0</v>
      </c>
      <c r="J56" s="45">
        <f>I56</f>
        <v>0</v>
      </c>
      <c r="K56" s="45">
        <f>J56</f>
        <v>0</v>
      </c>
      <c r="L56" s="45">
        <f>K56</f>
        <v>0</v>
      </c>
      <c r="M56" s="45">
        <f>L56</f>
        <v>0</v>
      </c>
      <c r="N56" s="45">
        <f>M56</f>
        <v>0</v>
      </c>
    </row>
    <row r="57" spans="1:14" ht="24" customHeight="1">
      <c r="A57" s="25" t="s">
        <v>13</v>
      </c>
      <c r="B57" s="20" t="s">
        <v>38</v>
      </c>
      <c r="C57" s="20"/>
      <c r="D57" s="20"/>
      <c r="E57" s="25" t="s">
        <v>14</v>
      </c>
      <c r="F57" s="46">
        <f>F56</f>
        <v>17000</v>
      </c>
      <c r="G57" s="45">
        <f>$G$24</f>
        <v>0</v>
      </c>
      <c r="H57" s="45">
        <v>0</v>
      </c>
      <c r="I57" s="45">
        <f>$F$24*H53*$G$24</f>
        <v>0</v>
      </c>
      <c r="J57" s="45">
        <f>$F$24*I53*$G$24</f>
        <v>0</v>
      </c>
      <c r="K57" s="45">
        <f>$F$24*J53*$G$24</f>
        <v>0</v>
      </c>
      <c r="L57" s="45">
        <f>$F$24*K53*$G$24</f>
        <v>0</v>
      </c>
      <c r="M57" s="45">
        <f>$F$24*L53*$G$24</f>
        <v>0</v>
      </c>
      <c r="N57" s="45">
        <f>$F$24*M53*$G$24</f>
        <v>0</v>
      </c>
    </row>
    <row r="58" spans="1:14" ht="57" customHeight="1">
      <c r="A58" s="47" t="s">
        <v>39</v>
      </c>
      <c r="B58" s="32" t="s">
        <v>40</v>
      </c>
      <c r="C58" s="32"/>
      <c r="D58" s="32"/>
      <c r="E58" s="21" t="s">
        <v>11</v>
      </c>
      <c r="F58" s="46">
        <f aca="true" t="shared" si="4" ref="F58:F59">F46</f>
        <v>9300</v>
      </c>
      <c r="G58" s="45">
        <f>$G$25</f>
        <v>0</v>
      </c>
      <c r="H58" s="45">
        <f>F58*G58</f>
        <v>0</v>
      </c>
      <c r="I58" s="45">
        <f>H58</f>
        <v>0</v>
      </c>
      <c r="J58" s="45">
        <f>I58</f>
        <v>0</v>
      </c>
      <c r="K58" s="45">
        <f>J58</f>
        <v>0</v>
      </c>
      <c r="L58" s="45">
        <f>K58</f>
        <v>0</v>
      </c>
      <c r="M58" s="45">
        <f>L58</f>
        <v>0</v>
      </c>
      <c r="N58" s="45">
        <f>M58</f>
        <v>0</v>
      </c>
    </row>
    <row r="59" spans="1:14" ht="34.5">
      <c r="A59" s="25" t="s">
        <v>41</v>
      </c>
      <c r="B59" s="33" t="s">
        <v>23</v>
      </c>
      <c r="C59" s="33"/>
      <c r="D59" s="33"/>
      <c r="E59" s="25" t="s">
        <v>14</v>
      </c>
      <c r="F59" s="46">
        <f t="shared" si="4"/>
        <v>9300</v>
      </c>
      <c r="G59" s="45">
        <f>$G$26</f>
        <v>0</v>
      </c>
      <c r="H59" s="45">
        <v>0</v>
      </c>
      <c r="I59" s="45">
        <f>$F59*$G59+H59</f>
        <v>0</v>
      </c>
      <c r="J59" s="45">
        <f>$F59*$G59+I59</f>
        <v>0</v>
      </c>
      <c r="K59" s="45">
        <f>$F59*$G59+J59</f>
        <v>0</v>
      </c>
      <c r="L59" s="45">
        <f>$F59*$G59+K59</f>
        <v>0</v>
      </c>
      <c r="M59" s="45">
        <f>$F59*$G59+L59</f>
        <v>0</v>
      </c>
      <c r="N59" s="45">
        <f>$F59*$G59+M59</f>
        <v>0</v>
      </c>
    </row>
    <row r="60" spans="1:14" ht="12.75" customHeight="1">
      <c r="A60" s="15" t="s">
        <v>42</v>
      </c>
      <c r="B60" s="15"/>
      <c r="C60" s="15"/>
      <c r="D60" s="15"/>
      <c r="E60" s="15"/>
      <c r="F60" s="15"/>
      <c r="G60" s="15"/>
      <c r="H60" s="48">
        <f>SUM(H55:H59)</f>
        <v>0</v>
      </c>
      <c r="I60" s="48">
        <f>SUM(I55:I59)</f>
        <v>0</v>
      </c>
      <c r="J60" s="48">
        <f>SUM(J55:J59)</f>
        <v>0</v>
      </c>
      <c r="K60" s="48">
        <f>SUM(K55:K59)</f>
        <v>0</v>
      </c>
      <c r="L60" s="48">
        <f>SUM(L55:L59)</f>
        <v>0</v>
      </c>
      <c r="M60" s="48">
        <f>SUM(M55:M59)</f>
        <v>0</v>
      </c>
      <c r="N60" s="48">
        <f>SUM(N55:N59)</f>
        <v>0</v>
      </c>
    </row>
    <row r="61" spans="1:14" ht="12.75">
      <c r="A61" s="54"/>
      <c r="B61" s="54"/>
      <c r="C61" s="54"/>
      <c r="D61" s="55"/>
      <c r="E61" s="55"/>
      <c r="F61" s="55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4"/>
      <c r="B62" s="54"/>
      <c r="C62" s="54"/>
      <c r="D62" s="55"/>
      <c r="E62" s="55"/>
      <c r="F62" s="55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4"/>
      <c r="B63" s="54"/>
      <c r="C63" s="54"/>
      <c r="D63" s="55"/>
      <c r="E63" s="55"/>
      <c r="F63" s="55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4"/>
      <c r="B64" s="54"/>
      <c r="C64" s="54"/>
      <c r="D64" s="55"/>
      <c r="E64" s="55"/>
      <c r="F64" s="55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54"/>
      <c r="B65" s="54"/>
      <c r="C65" s="54"/>
      <c r="D65" s="55"/>
      <c r="E65" s="55"/>
      <c r="F65" s="55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54"/>
      <c r="B66" s="54"/>
      <c r="C66" s="54"/>
      <c r="D66" s="55"/>
      <c r="E66" s="55"/>
      <c r="F66" s="55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54"/>
      <c r="B67" s="54"/>
      <c r="C67" s="54"/>
      <c r="D67" s="55"/>
      <c r="E67" s="55"/>
      <c r="F67" s="55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54"/>
      <c r="B68" s="54"/>
      <c r="C68" s="54"/>
      <c r="D68" s="55"/>
      <c r="E68" s="55"/>
      <c r="F68" s="55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54"/>
      <c r="B69" s="54"/>
      <c r="C69" s="54"/>
      <c r="D69" s="55"/>
      <c r="E69" s="55"/>
      <c r="F69" s="55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54"/>
      <c r="B70" s="54"/>
      <c r="C70" s="54"/>
      <c r="D70" s="55"/>
      <c r="E70" s="55"/>
      <c r="F70" s="55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54"/>
      <c r="B71" s="54"/>
      <c r="C71" s="54"/>
      <c r="D71" s="55"/>
      <c r="E71" s="55"/>
      <c r="F71" s="55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54"/>
      <c r="B72" s="54"/>
      <c r="C72" s="54"/>
      <c r="D72" s="55"/>
      <c r="E72" s="55"/>
      <c r="F72" s="55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4"/>
      <c r="B73" s="54"/>
      <c r="C73" s="54"/>
      <c r="D73" s="55"/>
      <c r="E73" s="55"/>
      <c r="F73" s="55"/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54"/>
      <c r="B74" s="54"/>
      <c r="C74" s="54"/>
      <c r="D74" s="55"/>
      <c r="E74" s="55"/>
      <c r="F74" s="55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54"/>
      <c r="B75" s="54"/>
      <c r="C75" s="54"/>
      <c r="D75" s="55"/>
      <c r="E75" s="55"/>
      <c r="F75" s="55"/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54"/>
      <c r="B76" s="54"/>
      <c r="C76" s="54"/>
      <c r="D76" s="55"/>
      <c r="E76" s="55"/>
      <c r="F76" s="55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54"/>
      <c r="B77" s="54"/>
      <c r="C77" s="54"/>
      <c r="D77" s="55"/>
      <c r="E77" s="55"/>
      <c r="F77" s="55"/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54"/>
      <c r="B78" s="54"/>
      <c r="C78" s="54"/>
      <c r="D78" s="55"/>
      <c r="E78" s="55"/>
      <c r="F78" s="55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54"/>
      <c r="B79" s="54"/>
      <c r="C79" s="54"/>
      <c r="D79" s="55"/>
      <c r="E79" s="55"/>
      <c r="F79" s="55"/>
      <c r="G79" s="54"/>
      <c r="H79" s="54"/>
      <c r="I79" s="54"/>
      <c r="J79" s="54"/>
      <c r="K79" s="54"/>
      <c r="L79" s="54"/>
      <c r="M79" s="54"/>
      <c r="N79" s="54"/>
    </row>
    <row r="80" spans="1:14" ht="12.75">
      <c r="A80" s="54"/>
      <c r="B80" s="54"/>
      <c r="C80" s="54"/>
      <c r="D80" s="55"/>
      <c r="E80" s="55"/>
      <c r="F80" s="55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54"/>
      <c r="B81" s="54"/>
      <c r="C81" s="54"/>
      <c r="D81" s="55"/>
      <c r="E81" s="55"/>
      <c r="F81" s="55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26" t="s">
        <v>47</v>
      </c>
      <c r="B82" s="13" t="s">
        <v>48</v>
      </c>
      <c r="C82" s="13"/>
      <c r="D82" s="13"/>
      <c r="E82" s="13"/>
      <c r="F82" s="13"/>
      <c r="G82" s="9"/>
      <c r="H82" s="6"/>
      <c r="I82" s="6"/>
      <c r="J82" s="6"/>
      <c r="K82" s="6"/>
      <c r="L82" s="6"/>
      <c r="M82" s="6"/>
      <c r="N82" s="6"/>
    </row>
    <row r="83" spans="1:14" ht="12.75" customHeight="1">
      <c r="A83" s="27" t="s">
        <v>18</v>
      </c>
      <c r="B83" s="27"/>
      <c r="C83" s="27"/>
      <c r="D83" s="27"/>
      <c r="E83" s="27"/>
      <c r="F83" s="28">
        <v>600</v>
      </c>
      <c r="G83" s="6"/>
      <c r="H83" s="29"/>
      <c r="I83" s="29"/>
      <c r="J83" s="29"/>
      <c r="K83" s="29"/>
      <c r="L83" s="29"/>
      <c r="M83" s="29"/>
      <c r="N83" s="29"/>
    </row>
    <row r="84" spans="1:14" ht="12.75" customHeight="1">
      <c r="A84" s="27" t="s">
        <v>45</v>
      </c>
      <c r="B84" s="27"/>
      <c r="C84" s="27"/>
      <c r="D84" s="27"/>
      <c r="E84" s="27"/>
      <c r="F84" s="28">
        <v>16000</v>
      </c>
      <c r="G84" s="6"/>
      <c r="H84" s="29"/>
      <c r="I84" s="29"/>
      <c r="J84" s="29"/>
      <c r="K84" s="29"/>
      <c r="L84" s="29"/>
      <c r="M84" s="29"/>
      <c r="N84" s="29"/>
    </row>
    <row r="85" spans="1:14" ht="24" customHeight="1">
      <c r="A85" s="25" t="s">
        <v>19</v>
      </c>
      <c r="B85" s="25"/>
      <c r="C85" s="25"/>
      <c r="D85" s="25"/>
      <c r="E85" s="25"/>
      <c r="F85" s="28">
        <f>F84+F83*2</f>
        <v>17200</v>
      </c>
      <c r="G85" s="6"/>
      <c r="H85" s="29"/>
      <c r="I85" s="30"/>
      <c r="J85" s="30"/>
      <c r="K85" s="30"/>
      <c r="L85" s="30"/>
      <c r="M85" s="30"/>
      <c r="N85" s="30"/>
    </row>
    <row r="86" spans="1:14" ht="12.75" customHeight="1">
      <c r="A86" s="17" t="s">
        <v>20</v>
      </c>
      <c r="B86" s="17"/>
      <c r="C86" s="17"/>
      <c r="D86" s="17"/>
      <c r="E86" s="17"/>
      <c r="F86" s="31">
        <f>F85*0.1</f>
        <v>1720</v>
      </c>
      <c r="G86" s="6"/>
      <c r="H86" s="29"/>
      <c r="I86" s="30"/>
      <c r="J86" s="30"/>
      <c r="K86" s="30"/>
      <c r="L86" s="30"/>
      <c r="M86" s="30"/>
      <c r="N86" s="30"/>
    </row>
    <row r="87" spans="1:14" ht="34.5" customHeight="1">
      <c r="A87" s="32" t="s">
        <v>49</v>
      </c>
      <c r="B87" s="32"/>
      <c r="C87" s="32"/>
      <c r="D87" s="32"/>
      <c r="E87" s="32"/>
      <c r="F87" s="28">
        <f>INT((F85-F86)/700)*100</f>
        <v>2200</v>
      </c>
      <c r="G87" s="6"/>
      <c r="H87" s="29"/>
      <c r="I87" s="30"/>
      <c r="J87" s="30"/>
      <c r="K87" s="30"/>
      <c r="L87" s="30"/>
      <c r="M87" s="30"/>
      <c r="N87" s="30"/>
    </row>
    <row r="88" spans="1:14" ht="12.75">
      <c r="A88" s="33" t="s">
        <v>22</v>
      </c>
      <c r="B88" s="33" t="s">
        <v>23</v>
      </c>
      <c r="C88" s="33" t="s">
        <v>23</v>
      </c>
      <c r="D88" s="33" t="s">
        <v>23</v>
      </c>
      <c r="E88" s="33"/>
      <c r="F88" s="31">
        <f>F87</f>
        <v>2200</v>
      </c>
      <c r="G88" s="6"/>
      <c r="H88" s="6"/>
      <c r="I88" s="6"/>
      <c r="J88" s="6"/>
      <c r="K88" s="6"/>
      <c r="L88" s="6"/>
      <c r="M88" s="6"/>
      <c r="N88" s="6"/>
    </row>
    <row r="89" spans="1:14" ht="12.75">
      <c r="A89" s="52"/>
      <c r="B89" s="52"/>
      <c r="C89" s="52"/>
      <c r="D89" s="52"/>
      <c r="E89" s="52"/>
      <c r="F89" s="52"/>
      <c r="G89" s="6"/>
      <c r="H89" s="6"/>
      <c r="I89" s="6"/>
      <c r="J89" s="6"/>
      <c r="K89" s="6"/>
      <c r="L89" s="6"/>
      <c r="M89" s="6"/>
      <c r="N89" s="6"/>
    </row>
    <row r="90" spans="1:14" ht="12.75" customHeight="1">
      <c r="A90" s="35" t="s">
        <v>50</v>
      </c>
      <c r="B90" s="35"/>
      <c r="C90" s="35"/>
      <c r="D90" s="35"/>
      <c r="E90" s="36">
        <f>SUM(H101:N101)+E91+E6/4</f>
        <v>0</v>
      </c>
      <c r="F90" s="36"/>
      <c r="G90" s="6"/>
      <c r="H90" s="6"/>
      <c r="I90" s="7"/>
      <c r="J90" s="7"/>
      <c r="K90" s="7"/>
      <c r="L90" s="7"/>
      <c r="M90" s="7"/>
      <c r="N90" s="7"/>
    </row>
    <row r="91" spans="1:14" ht="12.75" customHeight="1">
      <c r="A91" s="35" t="s">
        <v>15</v>
      </c>
      <c r="B91" s="35"/>
      <c r="C91" s="35"/>
      <c r="D91" s="35"/>
      <c r="E91" s="36">
        <f>D10*F85</f>
        <v>0</v>
      </c>
      <c r="F91" s="36"/>
      <c r="G91" s="6"/>
      <c r="H91" s="56"/>
      <c r="I91" s="7"/>
      <c r="J91" s="7"/>
      <c r="K91" s="7"/>
      <c r="L91" s="7"/>
      <c r="M91" s="7"/>
      <c r="N91" s="7"/>
    </row>
    <row r="92" spans="1:14" ht="12.75">
      <c r="A92" s="57"/>
      <c r="B92" s="24"/>
      <c r="C92" s="58"/>
      <c r="D92" s="24"/>
      <c r="E92" s="58"/>
      <c r="F92" s="24"/>
      <c r="G92" s="6"/>
      <c r="H92" s="56"/>
      <c r="I92" s="7"/>
      <c r="J92" s="7"/>
      <c r="K92" s="7"/>
      <c r="L92" s="7"/>
      <c r="M92" s="7"/>
      <c r="N92" s="7"/>
    </row>
    <row r="93" spans="1:14" ht="12.75" customHeight="1">
      <c r="A93" s="4"/>
      <c r="B93" s="6"/>
      <c r="C93" s="53"/>
      <c r="D93" s="6"/>
      <c r="E93" s="53"/>
      <c r="F93" s="6"/>
      <c r="G93" s="6"/>
      <c r="H93" s="38" t="s">
        <v>25</v>
      </c>
      <c r="I93" s="38"/>
      <c r="J93" s="38"/>
      <c r="K93" s="38"/>
      <c r="L93" s="38"/>
      <c r="M93" s="38"/>
      <c r="N93" s="38"/>
    </row>
    <row r="94" spans="1:14" ht="12.75">
      <c r="A94" s="4"/>
      <c r="B94" s="53"/>
      <c r="C94" s="53"/>
      <c r="D94" s="6"/>
      <c r="E94" s="6"/>
      <c r="F94" s="6"/>
      <c r="G94" s="6"/>
      <c r="H94" s="39">
        <v>1</v>
      </c>
      <c r="I94" s="39">
        <v>2</v>
      </c>
      <c r="J94" s="39">
        <v>3</v>
      </c>
      <c r="K94" s="39">
        <v>4</v>
      </c>
      <c r="L94" s="39">
        <v>5</v>
      </c>
      <c r="M94" s="39">
        <v>6</v>
      </c>
      <c r="N94" s="39">
        <v>7</v>
      </c>
    </row>
    <row r="95" spans="1:14" ht="34.5">
      <c r="A95" s="40" t="s">
        <v>4</v>
      </c>
      <c r="B95" s="13" t="s">
        <v>26</v>
      </c>
      <c r="C95" s="13"/>
      <c r="D95" s="13"/>
      <c r="E95" s="41" t="s">
        <v>5</v>
      </c>
      <c r="F95" s="15" t="s">
        <v>27</v>
      </c>
      <c r="G95" s="15" t="s">
        <v>6</v>
      </c>
      <c r="H95" s="15" t="s">
        <v>28</v>
      </c>
      <c r="I95" s="15" t="s">
        <v>29</v>
      </c>
      <c r="J95" s="42" t="s">
        <v>30</v>
      </c>
      <c r="K95" s="42" t="s">
        <v>31</v>
      </c>
      <c r="L95" s="42" t="s">
        <v>32</v>
      </c>
      <c r="M95" s="42" t="s">
        <v>33</v>
      </c>
      <c r="N95" s="42" t="s">
        <v>34</v>
      </c>
    </row>
    <row r="96" spans="1:14" ht="24" customHeight="1">
      <c r="A96" s="21" t="s">
        <v>35</v>
      </c>
      <c r="B96" s="20" t="s">
        <v>19</v>
      </c>
      <c r="C96" s="20"/>
      <c r="D96" s="20"/>
      <c r="E96" s="21" t="s">
        <v>11</v>
      </c>
      <c r="F96" s="43">
        <f>F85</f>
        <v>17200</v>
      </c>
      <c r="G96" s="45">
        <f>$G$22</f>
        <v>0</v>
      </c>
      <c r="H96" s="45">
        <f aca="true" t="shared" si="5" ref="H96:H97">F96*G96</f>
        <v>0</v>
      </c>
      <c r="I96" s="45">
        <f>H96-F99*$G$22</f>
        <v>0</v>
      </c>
      <c r="J96" s="45">
        <f>I96-$F99*$G$22</f>
        <v>0</v>
      </c>
      <c r="K96" s="45">
        <f>J96-$F99*$G$22</f>
        <v>0</v>
      </c>
      <c r="L96" s="45">
        <f>K96-$F99*$G$22</f>
        <v>0</v>
      </c>
      <c r="M96" s="45">
        <f>L96-$F99*$G$22</f>
        <v>0</v>
      </c>
      <c r="N96" s="45">
        <f>M96-$F99*$G$22</f>
        <v>0</v>
      </c>
    </row>
    <row r="97" spans="1:14" ht="24" customHeight="1">
      <c r="A97" s="25" t="s">
        <v>37</v>
      </c>
      <c r="B97" s="20" t="s">
        <v>18</v>
      </c>
      <c r="C97" s="20"/>
      <c r="D97" s="20"/>
      <c r="E97" s="21" t="s">
        <v>11</v>
      </c>
      <c r="F97" s="43">
        <f>F83</f>
        <v>600</v>
      </c>
      <c r="G97" s="45">
        <f>$G$23</f>
        <v>0</v>
      </c>
      <c r="H97" s="45">
        <f t="shared" si="5"/>
        <v>0</v>
      </c>
      <c r="I97" s="45">
        <f>H97</f>
        <v>0</v>
      </c>
      <c r="J97" s="45">
        <f>I97</f>
        <v>0</v>
      </c>
      <c r="K97" s="45">
        <f>J97</f>
        <v>0</v>
      </c>
      <c r="L97" s="45">
        <f>K97</f>
        <v>0</v>
      </c>
      <c r="M97" s="45">
        <f>L97</f>
        <v>0</v>
      </c>
      <c r="N97" s="45">
        <f>M97</f>
        <v>0</v>
      </c>
    </row>
    <row r="98" spans="1:14" ht="24" customHeight="1">
      <c r="A98" s="25" t="s">
        <v>13</v>
      </c>
      <c r="B98" s="20" t="s">
        <v>38</v>
      </c>
      <c r="C98" s="20"/>
      <c r="D98" s="20"/>
      <c r="E98" s="25" t="s">
        <v>14</v>
      </c>
      <c r="F98" s="46">
        <f>F97</f>
        <v>600</v>
      </c>
      <c r="G98" s="45">
        <f>$G$24</f>
        <v>0</v>
      </c>
      <c r="H98" s="45">
        <v>0</v>
      </c>
      <c r="I98" s="45">
        <f>$F$24*H94*$G$24</f>
        <v>0</v>
      </c>
      <c r="J98" s="45">
        <f>$F$24*I94*$G$24</f>
        <v>0</v>
      </c>
      <c r="K98" s="45">
        <f>$F$24*J94*$G$24</f>
        <v>0</v>
      </c>
      <c r="L98" s="45">
        <f>$F$24*K94*$G$24</f>
        <v>0</v>
      </c>
      <c r="M98" s="45">
        <f>$F$24*L94*$G$24</f>
        <v>0</v>
      </c>
      <c r="N98" s="45">
        <f>$F$24*M94*$G$24</f>
        <v>0</v>
      </c>
    </row>
    <row r="99" spans="1:14" ht="57" customHeight="1">
      <c r="A99" s="47" t="s">
        <v>39</v>
      </c>
      <c r="B99" s="32" t="s">
        <v>40</v>
      </c>
      <c r="C99" s="32"/>
      <c r="D99" s="32"/>
      <c r="E99" s="21" t="s">
        <v>11</v>
      </c>
      <c r="F99" s="46">
        <f aca="true" t="shared" si="6" ref="F99:F100">F87</f>
        <v>2200</v>
      </c>
      <c r="G99" s="45">
        <f>$G$25</f>
        <v>0</v>
      </c>
      <c r="H99" s="45">
        <f>F99*G99</f>
        <v>0</v>
      </c>
      <c r="I99" s="45">
        <f>H99</f>
        <v>0</v>
      </c>
      <c r="J99" s="45">
        <f>I99</f>
        <v>0</v>
      </c>
      <c r="K99" s="45">
        <f>J99</f>
        <v>0</v>
      </c>
      <c r="L99" s="45">
        <f>K99</f>
        <v>0</v>
      </c>
      <c r="M99" s="45">
        <f>L99</f>
        <v>0</v>
      </c>
      <c r="N99" s="45">
        <f>M99</f>
        <v>0</v>
      </c>
    </row>
    <row r="100" spans="1:14" ht="34.5">
      <c r="A100" s="25" t="s">
        <v>41</v>
      </c>
      <c r="B100" s="33" t="s">
        <v>23</v>
      </c>
      <c r="C100" s="33"/>
      <c r="D100" s="33"/>
      <c r="E100" s="25" t="s">
        <v>14</v>
      </c>
      <c r="F100" s="46">
        <f t="shared" si="6"/>
        <v>2200</v>
      </c>
      <c r="G100" s="45">
        <f>$G$26</f>
        <v>0</v>
      </c>
      <c r="H100" s="45">
        <v>0</v>
      </c>
      <c r="I100" s="45">
        <f>$F100*$G100+H100</f>
        <v>0</v>
      </c>
      <c r="J100" s="45">
        <f>$F100*$G100+I100</f>
        <v>0</v>
      </c>
      <c r="K100" s="45">
        <f>$F100*$G100+J100</f>
        <v>0</v>
      </c>
      <c r="L100" s="45">
        <f>$F100*$G100+K100</f>
        <v>0</v>
      </c>
      <c r="M100" s="45">
        <f>$F100*$G100+L100</f>
        <v>0</v>
      </c>
      <c r="N100" s="45">
        <f>$F100*$G100+M100</f>
        <v>0</v>
      </c>
    </row>
    <row r="101" spans="1:14" ht="12.75" customHeight="1">
      <c r="A101" s="15" t="s">
        <v>42</v>
      </c>
      <c r="B101" s="15"/>
      <c r="C101" s="15"/>
      <c r="D101" s="15"/>
      <c r="E101" s="15"/>
      <c r="F101" s="15"/>
      <c r="G101" s="15"/>
      <c r="H101" s="48">
        <f>SUM(H96:H100)</f>
        <v>0</v>
      </c>
      <c r="I101" s="48">
        <f>SUM(I96:I100)</f>
        <v>0</v>
      </c>
      <c r="J101" s="48">
        <f>SUM(J96:J100)</f>
        <v>0</v>
      </c>
      <c r="K101" s="48">
        <f>SUM(K96:K100)</f>
        <v>0</v>
      </c>
      <c r="L101" s="48">
        <f>SUM(L96:L100)</f>
        <v>0</v>
      </c>
      <c r="M101" s="48">
        <f>SUM(M96:M100)</f>
        <v>0</v>
      </c>
      <c r="N101" s="48">
        <f>SUM(N96:N100)</f>
        <v>0</v>
      </c>
    </row>
    <row r="102" spans="1:14" ht="12.75">
      <c r="A102" s="54"/>
      <c r="B102" s="54"/>
      <c r="C102" s="54"/>
      <c r="D102" s="55"/>
      <c r="E102" s="55"/>
      <c r="F102" s="55"/>
      <c r="G102" s="54"/>
      <c r="H102" s="54"/>
      <c r="I102" s="54"/>
      <c r="J102" s="54"/>
      <c r="K102" s="54"/>
      <c r="L102" s="54"/>
      <c r="M102" s="54"/>
      <c r="N102" s="54"/>
    </row>
    <row r="103" spans="1:14" ht="12.75">
      <c r="A103" s="54"/>
      <c r="B103" s="54"/>
      <c r="C103" s="54"/>
      <c r="D103" s="55"/>
      <c r="E103" s="55"/>
      <c r="F103" s="55"/>
      <c r="G103" s="54"/>
      <c r="H103" s="54"/>
      <c r="I103" s="54"/>
      <c r="J103" s="54"/>
      <c r="K103" s="54"/>
      <c r="L103" s="54"/>
      <c r="M103" s="54"/>
      <c r="N103" s="54"/>
    </row>
    <row r="104" spans="1:14" ht="12.75">
      <c r="A104" s="54"/>
      <c r="B104" s="54"/>
      <c r="C104" s="54"/>
      <c r="D104" s="55"/>
      <c r="E104" s="55"/>
      <c r="F104" s="55"/>
      <c r="G104" s="54"/>
      <c r="H104" s="54"/>
      <c r="I104" s="54"/>
      <c r="J104" s="54"/>
      <c r="K104" s="54"/>
      <c r="L104" s="54"/>
      <c r="M104" s="54"/>
      <c r="N104" s="54"/>
    </row>
    <row r="105" spans="1:14" ht="12.75">
      <c r="A105" s="54"/>
      <c r="B105" s="54"/>
      <c r="C105" s="54"/>
      <c r="D105" s="55"/>
      <c r="E105" s="55"/>
      <c r="F105" s="55"/>
      <c r="G105" s="54"/>
      <c r="H105" s="54"/>
      <c r="I105" s="54"/>
      <c r="J105" s="54"/>
      <c r="K105" s="54"/>
      <c r="L105" s="54"/>
      <c r="M105" s="54"/>
      <c r="N105" s="54"/>
    </row>
    <row r="106" spans="1:14" ht="12.75">
      <c r="A106" s="54"/>
      <c r="B106" s="54"/>
      <c r="C106" s="54"/>
      <c r="D106" s="55"/>
      <c r="E106" s="55"/>
      <c r="F106" s="55"/>
      <c r="G106" s="54"/>
      <c r="H106" s="54"/>
      <c r="I106" s="54"/>
      <c r="J106" s="54"/>
      <c r="K106" s="54"/>
      <c r="L106" s="54"/>
      <c r="M106" s="54"/>
      <c r="N106" s="54"/>
    </row>
    <row r="107" spans="1:14" ht="12.75">
      <c r="A107" s="54"/>
      <c r="B107" s="54"/>
      <c r="C107" s="54"/>
      <c r="D107" s="55"/>
      <c r="E107" s="55"/>
      <c r="F107" s="55"/>
      <c r="G107" s="54"/>
      <c r="H107" s="54"/>
      <c r="I107" s="54"/>
      <c r="J107" s="54"/>
      <c r="K107" s="54"/>
      <c r="L107" s="54"/>
      <c r="M107" s="54"/>
      <c r="N107" s="54"/>
    </row>
    <row r="108" spans="1:14" ht="12.75">
      <c r="A108" s="54"/>
      <c r="B108" s="54"/>
      <c r="C108" s="54"/>
      <c r="D108" s="55"/>
      <c r="E108" s="55"/>
      <c r="F108" s="55"/>
      <c r="G108" s="54"/>
      <c r="H108" s="54"/>
      <c r="I108" s="54"/>
      <c r="J108" s="54"/>
      <c r="K108" s="54"/>
      <c r="L108" s="54"/>
      <c r="M108" s="54"/>
      <c r="N108" s="54"/>
    </row>
    <row r="109" spans="1:14" ht="12.75">
      <c r="A109" s="54"/>
      <c r="B109" s="54"/>
      <c r="C109" s="54"/>
      <c r="D109" s="55"/>
      <c r="E109" s="55"/>
      <c r="F109" s="55"/>
      <c r="G109" s="54"/>
      <c r="H109" s="54"/>
      <c r="I109" s="54"/>
      <c r="J109" s="54"/>
      <c r="K109" s="54"/>
      <c r="L109" s="54"/>
      <c r="M109" s="54"/>
      <c r="N109" s="54"/>
    </row>
    <row r="110" spans="1:14" ht="12.75">
      <c r="A110" s="54"/>
      <c r="B110" s="54"/>
      <c r="C110" s="54"/>
      <c r="D110" s="55"/>
      <c r="E110" s="55"/>
      <c r="F110" s="55"/>
      <c r="G110" s="54"/>
      <c r="H110" s="54"/>
      <c r="I110" s="54"/>
      <c r="J110" s="54"/>
      <c r="K110" s="54"/>
      <c r="L110" s="54"/>
      <c r="M110" s="54"/>
      <c r="N110" s="54"/>
    </row>
    <row r="111" spans="1:14" ht="12.75">
      <c r="A111" s="54"/>
      <c r="B111" s="54"/>
      <c r="C111" s="54"/>
      <c r="D111" s="55"/>
      <c r="E111" s="55"/>
      <c r="F111" s="55"/>
      <c r="G111" s="54"/>
      <c r="H111" s="54"/>
      <c r="I111" s="54"/>
      <c r="J111" s="54"/>
      <c r="K111" s="54"/>
      <c r="L111" s="54"/>
      <c r="M111" s="54"/>
      <c r="N111" s="54"/>
    </row>
    <row r="112" spans="1:14" ht="12.75">
      <c r="A112" s="54"/>
      <c r="B112" s="54"/>
      <c r="C112" s="54"/>
      <c r="D112" s="55"/>
      <c r="E112" s="55"/>
      <c r="F112" s="55"/>
      <c r="G112" s="54"/>
      <c r="H112" s="54"/>
      <c r="I112" s="54"/>
      <c r="J112" s="54"/>
      <c r="K112" s="54"/>
      <c r="L112" s="54"/>
      <c r="M112" s="54"/>
      <c r="N112" s="54"/>
    </row>
    <row r="113" spans="1:14" ht="12.75">
      <c r="A113" s="54"/>
      <c r="B113" s="54"/>
      <c r="C113" s="54"/>
      <c r="D113" s="55"/>
      <c r="E113" s="55"/>
      <c r="F113" s="55"/>
      <c r="G113" s="54"/>
      <c r="H113" s="54"/>
      <c r="I113" s="54"/>
      <c r="J113" s="54"/>
      <c r="K113" s="54"/>
      <c r="L113" s="54"/>
      <c r="M113" s="54"/>
      <c r="N113" s="54"/>
    </row>
    <row r="114" spans="1:14" ht="12.75">
      <c r="A114" s="54"/>
      <c r="B114" s="54"/>
      <c r="C114" s="54"/>
      <c r="D114" s="55"/>
      <c r="E114" s="55"/>
      <c r="F114" s="55"/>
      <c r="G114" s="54"/>
      <c r="H114" s="54"/>
      <c r="I114" s="54"/>
      <c r="J114" s="54"/>
      <c r="K114" s="54"/>
      <c r="L114" s="54"/>
      <c r="M114" s="54"/>
      <c r="N114" s="54"/>
    </row>
    <row r="115" spans="1:14" ht="12.75">
      <c r="A115" s="54"/>
      <c r="B115" s="54"/>
      <c r="C115" s="54"/>
      <c r="D115" s="55"/>
      <c r="E115" s="55"/>
      <c r="F115" s="55"/>
      <c r="G115" s="54"/>
      <c r="H115" s="54"/>
      <c r="I115" s="54"/>
      <c r="J115" s="54"/>
      <c r="K115" s="54"/>
      <c r="L115" s="54"/>
      <c r="M115" s="54"/>
      <c r="N115" s="54"/>
    </row>
    <row r="116" spans="1:14" ht="12.75">
      <c r="A116" s="54"/>
      <c r="B116" s="54"/>
      <c r="C116" s="54"/>
      <c r="D116" s="55"/>
      <c r="E116" s="55"/>
      <c r="F116" s="55"/>
      <c r="G116" s="54"/>
      <c r="H116" s="54"/>
      <c r="I116" s="54"/>
      <c r="J116" s="54"/>
      <c r="K116" s="54"/>
      <c r="L116" s="54"/>
      <c r="M116" s="54"/>
      <c r="N116" s="54"/>
    </row>
    <row r="117" spans="1:14" ht="12.75">
      <c r="A117" s="54"/>
      <c r="B117" s="54"/>
      <c r="C117" s="54"/>
      <c r="D117" s="55"/>
      <c r="E117" s="55"/>
      <c r="F117" s="55"/>
      <c r="G117" s="54"/>
      <c r="H117" s="54"/>
      <c r="I117" s="54"/>
      <c r="J117" s="54"/>
      <c r="K117" s="54"/>
      <c r="L117" s="54"/>
      <c r="M117" s="54"/>
      <c r="N117" s="54"/>
    </row>
    <row r="118" spans="1:14" ht="12.75">
      <c r="A118" s="54"/>
      <c r="B118" s="54"/>
      <c r="C118" s="54"/>
      <c r="D118" s="55"/>
      <c r="E118" s="55"/>
      <c r="F118" s="55"/>
      <c r="G118" s="54"/>
      <c r="H118" s="54"/>
      <c r="I118" s="54"/>
      <c r="J118" s="54"/>
      <c r="K118" s="54"/>
      <c r="L118" s="54"/>
      <c r="M118" s="54"/>
      <c r="N118" s="54"/>
    </row>
    <row r="119" spans="1:14" ht="12.75">
      <c r="A119" s="54"/>
      <c r="B119" s="54"/>
      <c r="C119" s="54"/>
      <c r="D119" s="55"/>
      <c r="E119" s="55"/>
      <c r="F119" s="55"/>
      <c r="G119" s="54"/>
      <c r="H119" s="54"/>
      <c r="I119" s="54"/>
      <c r="J119" s="54"/>
      <c r="K119" s="54"/>
      <c r="L119" s="54"/>
      <c r="M119" s="54"/>
      <c r="N119" s="54"/>
    </row>
    <row r="120" spans="1:14" ht="12.75">
      <c r="A120" s="54"/>
      <c r="B120" s="54"/>
      <c r="C120" s="54"/>
      <c r="D120" s="55"/>
      <c r="E120" s="55"/>
      <c r="F120" s="55"/>
      <c r="G120" s="54"/>
      <c r="H120" s="54"/>
      <c r="I120" s="54"/>
      <c r="J120" s="54"/>
      <c r="K120" s="54"/>
      <c r="L120" s="54"/>
      <c r="M120" s="54"/>
      <c r="N120" s="54"/>
    </row>
    <row r="121" spans="1:14" ht="12.75">
      <c r="A121" s="54"/>
      <c r="B121" s="54"/>
      <c r="C121" s="54"/>
      <c r="D121" s="55"/>
      <c r="E121" s="55"/>
      <c r="F121" s="55"/>
      <c r="G121" s="54"/>
      <c r="H121" s="54"/>
      <c r="I121" s="54"/>
      <c r="J121" s="54"/>
      <c r="K121" s="54"/>
      <c r="L121" s="54"/>
      <c r="M121" s="54"/>
      <c r="N121" s="54"/>
    </row>
    <row r="122" spans="1:14" ht="12.75">
      <c r="A122" s="54"/>
      <c r="B122" s="54"/>
      <c r="C122" s="54"/>
      <c r="D122" s="55"/>
      <c r="E122" s="55"/>
      <c r="F122" s="55"/>
      <c r="G122" s="54"/>
      <c r="H122" s="54"/>
      <c r="I122" s="54"/>
      <c r="J122" s="54"/>
      <c r="K122" s="54"/>
      <c r="L122" s="54"/>
      <c r="M122" s="54"/>
      <c r="N122" s="54"/>
    </row>
    <row r="123" spans="1:14" ht="12.75">
      <c r="A123" s="54"/>
      <c r="B123" s="54"/>
      <c r="C123" s="54"/>
      <c r="D123" s="55"/>
      <c r="E123" s="55"/>
      <c r="F123" s="55"/>
      <c r="G123" s="54"/>
      <c r="H123" s="54"/>
      <c r="I123" s="54"/>
      <c r="J123" s="54"/>
      <c r="K123" s="54"/>
      <c r="L123" s="54"/>
      <c r="M123" s="54"/>
      <c r="N123" s="54"/>
    </row>
    <row r="124" spans="1:14" ht="12.75">
      <c r="A124" s="26" t="s">
        <v>51</v>
      </c>
      <c r="B124" s="13" t="s">
        <v>52</v>
      </c>
      <c r="C124" s="13"/>
      <c r="D124" s="13"/>
      <c r="E124" s="13"/>
      <c r="F124" s="13"/>
      <c r="G124" s="9"/>
      <c r="H124" s="6"/>
      <c r="I124" s="6"/>
      <c r="J124" s="6"/>
      <c r="K124" s="6"/>
      <c r="L124" s="6"/>
      <c r="M124" s="6"/>
      <c r="N124" s="6"/>
    </row>
    <row r="125" spans="1:14" ht="12.75" customHeight="1">
      <c r="A125" s="27" t="s">
        <v>18</v>
      </c>
      <c r="B125" s="27"/>
      <c r="C125" s="27"/>
      <c r="D125" s="27"/>
      <c r="E125" s="27"/>
      <c r="F125" s="28">
        <v>500</v>
      </c>
      <c r="G125" s="6"/>
      <c r="H125" s="29"/>
      <c r="I125" s="29"/>
      <c r="J125" s="29"/>
      <c r="K125" s="29"/>
      <c r="L125" s="29"/>
      <c r="M125" s="29"/>
      <c r="N125" s="29"/>
    </row>
    <row r="126" spans="1:14" ht="12.75" customHeight="1">
      <c r="A126" s="27" t="s">
        <v>45</v>
      </c>
      <c r="B126" s="27"/>
      <c r="C126" s="27"/>
      <c r="D126" s="27"/>
      <c r="E126" s="27"/>
      <c r="F126" s="28">
        <v>24000</v>
      </c>
      <c r="G126" s="6"/>
      <c r="H126" s="29"/>
      <c r="I126" s="29"/>
      <c r="J126" s="29"/>
      <c r="K126" s="29"/>
      <c r="L126" s="29"/>
      <c r="M126" s="29"/>
      <c r="N126" s="29"/>
    </row>
    <row r="127" spans="1:14" ht="24" customHeight="1">
      <c r="A127" s="25" t="s">
        <v>19</v>
      </c>
      <c r="B127" s="25"/>
      <c r="C127" s="25"/>
      <c r="D127" s="25"/>
      <c r="E127" s="25"/>
      <c r="F127" s="28">
        <f>F126+F125*2</f>
        <v>25000</v>
      </c>
      <c r="G127" s="6"/>
      <c r="H127" s="29"/>
      <c r="I127" s="30"/>
      <c r="J127" s="30"/>
      <c r="K127" s="30"/>
      <c r="L127" s="30"/>
      <c r="M127" s="30"/>
      <c r="N127" s="30"/>
    </row>
    <row r="128" spans="1:14" ht="12.75" customHeight="1">
      <c r="A128" s="17" t="s">
        <v>20</v>
      </c>
      <c r="B128" s="17"/>
      <c r="C128" s="17"/>
      <c r="D128" s="17"/>
      <c r="E128" s="17"/>
      <c r="F128" s="31">
        <f>F127*0.1</f>
        <v>2500</v>
      </c>
      <c r="G128" s="6"/>
      <c r="H128" s="29"/>
      <c r="I128" s="30"/>
      <c r="J128" s="30"/>
      <c r="K128" s="30"/>
      <c r="L128" s="30"/>
      <c r="M128" s="30"/>
      <c r="N128" s="30"/>
    </row>
    <row r="129" spans="1:14" ht="34.5" customHeight="1">
      <c r="A129" s="32" t="s">
        <v>21</v>
      </c>
      <c r="B129" s="32"/>
      <c r="C129" s="32"/>
      <c r="D129" s="32"/>
      <c r="E129" s="32"/>
      <c r="F129" s="28">
        <f>INT((F138-F128)/700)*100</f>
        <v>3200</v>
      </c>
      <c r="G129" s="6"/>
      <c r="H129" s="29"/>
      <c r="I129" s="30"/>
      <c r="J129" s="30"/>
      <c r="K129" s="30"/>
      <c r="L129" s="30"/>
      <c r="M129" s="30"/>
      <c r="N129" s="30"/>
    </row>
    <row r="130" spans="1:14" ht="12.75">
      <c r="A130" s="33" t="s">
        <v>22</v>
      </c>
      <c r="B130" s="33" t="s">
        <v>23</v>
      </c>
      <c r="C130" s="33" t="s">
        <v>23</v>
      </c>
      <c r="D130" s="33" t="s">
        <v>23</v>
      </c>
      <c r="E130" s="33"/>
      <c r="F130" s="31">
        <f>F129</f>
        <v>3200</v>
      </c>
      <c r="G130" s="6"/>
      <c r="H130" s="6"/>
      <c r="I130" s="6"/>
      <c r="J130" s="6"/>
      <c r="K130" s="6"/>
      <c r="L130" s="6"/>
      <c r="M130" s="6"/>
      <c r="N130" s="6"/>
    </row>
    <row r="131" spans="1:14" ht="12.75">
      <c r="A131" s="52"/>
      <c r="B131" s="52"/>
      <c r="C131" s="52"/>
      <c r="D131" s="52"/>
      <c r="E131" s="52"/>
      <c r="F131" s="52"/>
      <c r="G131" s="6"/>
      <c r="H131" s="6"/>
      <c r="I131" s="6"/>
      <c r="J131" s="6"/>
      <c r="K131" s="6"/>
      <c r="L131" s="6"/>
      <c r="M131" s="6"/>
      <c r="N131" s="6"/>
    </row>
    <row r="132" spans="1:14" ht="12.75" customHeight="1">
      <c r="A132" s="35" t="s">
        <v>50</v>
      </c>
      <c r="B132" s="35"/>
      <c r="C132" s="35"/>
      <c r="D132" s="35"/>
      <c r="E132" s="36">
        <f>SUM(H143:N143)+E133+E6/4</f>
        <v>0</v>
      </c>
      <c r="F132" s="36"/>
      <c r="G132" s="6"/>
      <c r="H132" s="6"/>
      <c r="I132" s="7"/>
      <c r="J132" s="7"/>
      <c r="K132" s="7"/>
      <c r="L132" s="7"/>
      <c r="M132" s="7"/>
      <c r="N132" s="7"/>
    </row>
    <row r="133" spans="1:14" ht="12.75">
      <c r="A133" s="35" t="s">
        <v>15</v>
      </c>
      <c r="B133" s="34"/>
      <c r="C133" s="59"/>
      <c r="D133" s="34"/>
      <c r="E133" s="36">
        <f>D10*F127</f>
        <v>0</v>
      </c>
      <c r="F133" s="36"/>
      <c r="G133" s="6"/>
      <c r="H133" s="56"/>
      <c r="I133" s="7"/>
      <c r="J133" s="7"/>
      <c r="K133" s="7"/>
      <c r="L133" s="7"/>
      <c r="M133" s="7"/>
      <c r="N133" s="7"/>
    </row>
    <row r="134" spans="1:14" ht="12.75">
      <c r="A134" s="57"/>
      <c r="B134" s="60"/>
      <c r="C134" s="61"/>
      <c r="D134" s="60"/>
      <c r="E134" s="58"/>
      <c r="F134" s="24"/>
      <c r="G134" s="6"/>
      <c r="H134" s="56"/>
      <c r="I134" s="7"/>
      <c r="J134" s="7"/>
      <c r="K134" s="7"/>
      <c r="L134" s="7"/>
      <c r="M134" s="7"/>
      <c r="N134" s="7"/>
    </row>
    <row r="135" spans="1:14" ht="12.75" customHeight="1">
      <c r="A135" s="4"/>
      <c r="B135" s="6"/>
      <c r="C135" s="53"/>
      <c r="D135" s="6"/>
      <c r="E135" s="53"/>
      <c r="F135" s="6"/>
      <c r="G135" s="6"/>
      <c r="H135" s="38" t="s">
        <v>25</v>
      </c>
      <c r="I135" s="38"/>
      <c r="J135" s="38"/>
      <c r="K135" s="38"/>
      <c r="L135" s="38"/>
      <c r="M135" s="38"/>
      <c r="N135" s="38"/>
    </row>
    <row r="136" spans="1:14" ht="12.75">
      <c r="A136" s="4"/>
      <c r="B136" s="53"/>
      <c r="C136" s="53"/>
      <c r="D136" s="6"/>
      <c r="E136" s="6"/>
      <c r="F136" s="6"/>
      <c r="G136" s="6"/>
      <c r="H136" s="39">
        <v>1</v>
      </c>
      <c r="I136" s="39">
        <v>2</v>
      </c>
      <c r="J136" s="39">
        <v>3</v>
      </c>
      <c r="K136" s="39">
        <v>4</v>
      </c>
      <c r="L136" s="39">
        <v>5</v>
      </c>
      <c r="M136" s="39">
        <v>6</v>
      </c>
      <c r="N136" s="39">
        <v>7</v>
      </c>
    </row>
    <row r="137" spans="1:14" ht="34.5">
      <c r="A137" s="40" t="s">
        <v>4</v>
      </c>
      <c r="B137" s="13" t="s">
        <v>26</v>
      </c>
      <c r="C137" s="13"/>
      <c r="D137" s="13"/>
      <c r="E137" s="41" t="s">
        <v>5</v>
      </c>
      <c r="F137" s="15" t="s">
        <v>27</v>
      </c>
      <c r="G137" s="15" t="s">
        <v>6</v>
      </c>
      <c r="H137" s="15" t="s">
        <v>28</v>
      </c>
      <c r="I137" s="15" t="s">
        <v>29</v>
      </c>
      <c r="J137" s="42" t="s">
        <v>30</v>
      </c>
      <c r="K137" s="42" t="s">
        <v>31</v>
      </c>
      <c r="L137" s="42" t="s">
        <v>32</v>
      </c>
      <c r="M137" s="42" t="s">
        <v>33</v>
      </c>
      <c r="N137" s="42" t="s">
        <v>34</v>
      </c>
    </row>
    <row r="138" spans="1:14" ht="34.5" customHeight="1">
      <c r="A138" s="21" t="s">
        <v>35</v>
      </c>
      <c r="B138" s="20" t="s">
        <v>36</v>
      </c>
      <c r="C138" s="20"/>
      <c r="D138" s="20"/>
      <c r="E138" s="21" t="s">
        <v>11</v>
      </c>
      <c r="F138" s="43">
        <f>F127</f>
        <v>25000</v>
      </c>
      <c r="G138" s="45">
        <f>$G$22</f>
        <v>0</v>
      </c>
      <c r="H138" s="45">
        <f aca="true" t="shared" si="7" ref="H138:H139">F138*G138</f>
        <v>0</v>
      </c>
      <c r="I138" s="45">
        <f>H138-F141*$G$22</f>
        <v>0</v>
      </c>
      <c r="J138" s="45">
        <f>I138-$F141*$G$22</f>
        <v>0</v>
      </c>
      <c r="K138" s="45">
        <f>J138-$F141*$G$22</f>
        <v>0</v>
      </c>
      <c r="L138" s="45">
        <f>K138-$F141*$G$22</f>
        <v>0</v>
      </c>
      <c r="M138" s="45">
        <f>L138-$F141*$G$22</f>
        <v>0</v>
      </c>
      <c r="N138" s="45">
        <f>M138-$F141*$G$22</f>
        <v>0</v>
      </c>
    </row>
    <row r="139" spans="1:14" ht="24" customHeight="1">
      <c r="A139" s="25" t="s">
        <v>37</v>
      </c>
      <c r="B139" s="20" t="s">
        <v>18</v>
      </c>
      <c r="C139" s="20"/>
      <c r="D139" s="20"/>
      <c r="E139" s="21" t="s">
        <v>11</v>
      </c>
      <c r="F139" s="43">
        <f>F125</f>
        <v>500</v>
      </c>
      <c r="G139" s="45">
        <f>$G$23</f>
        <v>0</v>
      </c>
      <c r="H139" s="45">
        <f t="shared" si="7"/>
        <v>0</v>
      </c>
      <c r="I139" s="45">
        <f>H139</f>
        <v>0</v>
      </c>
      <c r="J139" s="45">
        <f>I139</f>
        <v>0</v>
      </c>
      <c r="K139" s="45">
        <f>J139</f>
        <v>0</v>
      </c>
      <c r="L139" s="45">
        <f>K139</f>
        <v>0</v>
      </c>
      <c r="M139" s="45">
        <f>L139</f>
        <v>0</v>
      </c>
      <c r="N139" s="45">
        <f>M139</f>
        <v>0</v>
      </c>
    </row>
    <row r="140" spans="1:14" ht="24" customHeight="1">
      <c r="A140" s="25" t="s">
        <v>13</v>
      </c>
      <c r="B140" s="20" t="s">
        <v>38</v>
      </c>
      <c r="C140" s="20"/>
      <c r="D140" s="20"/>
      <c r="E140" s="25" t="s">
        <v>14</v>
      </c>
      <c r="F140" s="46">
        <f>F139</f>
        <v>500</v>
      </c>
      <c r="G140" s="45">
        <f>$G$24</f>
        <v>0</v>
      </c>
      <c r="H140" s="45">
        <v>0</v>
      </c>
      <c r="I140" s="45">
        <f>$F$24*H136*$G$24</f>
        <v>0</v>
      </c>
      <c r="J140" s="45">
        <f>$F$24*I136*$G$24</f>
        <v>0</v>
      </c>
      <c r="K140" s="45">
        <f>$F$24*J136*$G$24</f>
        <v>0</v>
      </c>
      <c r="L140" s="45">
        <f>$F$24*K136*$G$24</f>
        <v>0</v>
      </c>
      <c r="M140" s="45">
        <f>$F$24*L136*$G$24</f>
        <v>0</v>
      </c>
      <c r="N140" s="45">
        <f>$F$24*M136*$G$24</f>
        <v>0</v>
      </c>
    </row>
    <row r="141" spans="1:14" ht="57" customHeight="1">
      <c r="A141" s="47" t="s">
        <v>39</v>
      </c>
      <c r="B141" s="32" t="s">
        <v>40</v>
      </c>
      <c r="C141" s="32"/>
      <c r="D141" s="32"/>
      <c r="E141" s="21" t="s">
        <v>11</v>
      </c>
      <c r="F141" s="46">
        <f aca="true" t="shared" si="8" ref="F141:F142">F129</f>
        <v>3200</v>
      </c>
      <c r="G141" s="45">
        <f>$G$25</f>
        <v>0</v>
      </c>
      <c r="H141" s="45">
        <f>F141*G141</f>
        <v>0</v>
      </c>
      <c r="I141" s="45">
        <f>H141</f>
        <v>0</v>
      </c>
      <c r="J141" s="45">
        <f>I141</f>
        <v>0</v>
      </c>
      <c r="K141" s="45">
        <f>J141</f>
        <v>0</v>
      </c>
      <c r="L141" s="45">
        <f>K141</f>
        <v>0</v>
      </c>
      <c r="M141" s="45">
        <f>L141</f>
        <v>0</v>
      </c>
      <c r="N141" s="45">
        <f>M141</f>
        <v>0</v>
      </c>
    </row>
    <row r="142" spans="1:14" ht="34.5">
      <c r="A142" s="25" t="s">
        <v>41</v>
      </c>
      <c r="B142" s="33" t="s">
        <v>23</v>
      </c>
      <c r="C142" s="33"/>
      <c r="D142" s="33"/>
      <c r="E142" s="25" t="s">
        <v>14</v>
      </c>
      <c r="F142" s="46">
        <f t="shared" si="8"/>
        <v>3200</v>
      </c>
      <c r="G142" s="45">
        <f>$G$26</f>
        <v>0</v>
      </c>
      <c r="H142" s="45">
        <v>0</v>
      </c>
      <c r="I142" s="45">
        <f>$F142*$G142+H142</f>
        <v>0</v>
      </c>
      <c r="J142" s="45">
        <f>$F142*$G142+I142</f>
        <v>0</v>
      </c>
      <c r="K142" s="45">
        <f>$F142*$G142+J142</f>
        <v>0</v>
      </c>
      <c r="L142" s="45">
        <f>$F142*$G142+K142</f>
        <v>0</v>
      </c>
      <c r="M142" s="45">
        <f>$F142*$G142+L142</f>
        <v>0</v>
      </c>
      <c r="N142" s="45">
        <f>$F142*$G142+M142</f>
        <v>0</v>
      </c>
    </row>
    <row r="143" spans="1:14" ht="12.75" customHeight="1">
      <c r="A143" s="15" t="s">
        <v>42</v>
      </c>
      <c r="B143" s="15"/>
      <c r="C143" s="15"/>
      <c r="D143" s="15"/>
      <c r="E143" s="15"/>
      <c r="F143" s="15"/>
      <c r="G143" s="15"/>
      <c r="H143" s="48">
        <f>SUM(H138:H142)</f>
        <v>0</v>
      </c>
      <c r="I143" s="48">
        <f>SUM(I138:I142)</f>
        <v>0</v>
      </c>
      <c r="J143" s="48">
        <f>SUM(J138:J142)</f>
        <v>0</v>
      </c>
      <c r="K143" s="48">
        <f>SUM(K138:K142)</f>
        <v>0</v>
      </c>
      <c r="L143" s="48">
        <f>SUM(L138:L142)</f>
        <v>0</v>
      </c>
      <c r="M143" s="48">
        <f>SUM(M138:M142)</f>
        <v>0</v>
      </c>
      <c r="N143" s="48">
        <f>SUM(N138:N142)</f>
        <v>0</v>
      </c>
    </row>
    <row r="144" spans="1:14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2.75">
      <c r="A151" s="54"/>
      <c r="B151" s="54"/>
      <c r="C151" s="54"/>
      <c r="D151" s="55"/>
      <c r="E151" s="55"/>
      <c r="F151" s="55"/>
      <c r="G151" s="54"/>
      <c r="H151" s="54"/>
      <c r="I151" s="54"/>
      <c r="J151" s="54"/>
      <c r="K151" s="54"/>
      <c r="L151" s="54"/>
      <c r="M151" s="54"/>
      <c r="N151" s="54"/>
    </row>
    <row r="152" spans="1:14" ht="12.75">
      <c r="A152" s="54"/>
      <c r="B152" s="54"/>
      <c r="C152" s="54"/>
      <c r="D152" s="55"/>
      <c r="E152" s="55"/>
      <c r="F152" s="55"/>
      <c r="G152" s="54"/>
      <c r="H152" s="54"/>
      <c r="I152" s="54"/>
      <c r="J152" s="54"/>
      <c r="K152" s="54"/>
      <c r="L152" s="54"/>
      <c r="M152" s="54"/>
      <c r="N152" s="54"/>
    </row>
    <row r="153" spans="1:14" ht="12.75">
      <c r="A153" s="54"/>
      <c r="B153" s="54"/>
      <c r="C153" s="54"/>
      <c r="D153" s="55"/>
      <c r="E153" s="55"/>
      <c r="F153" s="55"/>
      <c r="G153" s="54"/>
      <c r="H153" s="54"/>
      <c r="I153" s="54"/>
      <c r="J153" s="54"/>
      <c r="K153" s="54"/>
      <c r="L153" s="54"/>
      <c r="M153" s="54"/>
      <c r="N153" s="54"/>
    </row>
    <row r="154" spans="1:14" ht="12.75">
      <c r="A154" s="54"/>
      <c r="B154" s="54"/>
      <c r="C154" s="54"/>
      <c r="D154" s="55"/>
      <c r="E154" s="55"/>
      <c r="F154" s="55"/>
      <c r="G154" s="54"/>
      <c r="H154" s="54"/>
      <c r="I154" s="54"/>
      <c r="J154" s="54"/>
      <c r="K154" s="54"/>
      <c r="L154" s="54"/>
      <c r="M154" s="54"/>
      <c r="N154" s="54"/>
    </row>
    <row r="155" spans="1:14" ht="12.75">
      <c r="A155" s="54"/>
      <c r="B155" s="54"/>
      <c r="C155" s="54"/>
      <c r="D155" s="55"/>
      <c r="E155" s="55"/>
      <c r="F155" s="55"/>
      <c r="G155" s="54"/>
      <c r="H155" s="54"/>
      <c r="I155" s="54"/>
      <c r="J155" s="54"/>
      <c r="K155" s="54"/>
      <c r="L155" s="54"/>
      <c r="M155" s="54"/>
      <c r="N155" s="54"/>
    </row>
    <row r="156" spans="1:14" ht="12.75">
      <c r="A156" s="54"/>
      <c r="B156" s="54"/>
      <c r="C156" s="54"/>
      <c r="D156" s="55"/>
      <c r="E156" s="55"/>
      <c r="F156" s="55"/>
      <c r="G156" s="54"/>
      <c r="H156" s="54"/>
      <c r="I156" s="54"/>
      <c r="J156" s="54"/>
      <c r="K156" s="54"/>
      <c r="L156" s="54"/>
      <c r="M156" s="54"/>
      <c r="N156" s="54"/>
    </row>
    <row r="157" spans="1:14" ht="12.75">
      <c r="A157" s="54"/>
      <c r="B157" s="54"/>
      <c r="C157" s="54"/>
      <c r="D157" s="55"/>
      <c r="E157" s="55"/>
      <c r="F157" s="55"/>
      <c r="G157" s="54"/>
      <c r="H157" s="54"/>
      <c r="I157" s="54"/>
      <c r="J157" s="54"/>
      <c r="K157" s="54"/>
      <c r="L157" s="54"/>
      <c r="M157" s="54"/>
      <c r="N157" s="54"/>
    </row>
    <row r="158" spans="1:14" ht="12.75">
      <c r="A158" s="54"/>
      <c r="B158" s="54"/>
      <c r="C158" s="54"/>
      <c r="D158" s="55"/>
      <c r="E158" s="55"/>
      <c r="F158" s="55"/>
      <c r="G158" s="54"/>
      <c r="H158" s="54"/>
      <c r="I158" s="54"/>
      <c r="J158" s="54"/>
      <c r="K158" s="54"/>
      <c r="L158" s="54"/>
      <c r="M158" s="54"/>
      <c r="N158" s="54"/>
    </row>
    <row r="159" spans="1:14" ht="12.75">
      <c r="A159" s="54"/>
      <c r="B159" s="54"/>
      <c r="C159" s="54"/>
      <c r="D159" s="55"/>
      <c r="E159" s="55"/>
      <c r="F159" s="55"/>
      <c r="G159" s="54"/>
      <c r="H159" s="54"/>
      <c r="I159" s="54"/>
      <c r="J159" s="54"/>
      <c r="K159" s="54"/>
      <c r="L159" s="54"/>
      <c r="M159" s="54"/>
      <c r="N159" s="54"/>
    </row>
    <row r="160" spans="1:14" ht="12.75">
      <c r="A160" s="54"/>
      <c r="B160" s="54"/>
      <c r="C160" s="54"/>
      <c r="D160" s="55"/>
      <c r="E160" s="55"/>
      <c r="F160" s="55"/>
      <c r="G160" s="54"/>
      <c r="H160" s="54"/>
      <c r="I160" s="54"/>
      <c r="J160" s="54"/>
      <c r="K160" s="54"/>
      <c r="L160" s="54"/>
      <c r="M160" s="54"/>
      <c r="N160" s="54"/>
    </row>
  </sheetData>
  <sheetProtection password="A4DB" sheet="1" selectLockedCells="1"/>
  <mergeCells count="87">
    <mergeCell ref="D1:H1"/>
    <mergeCell ref="E2:F2"/>
    <mergeCell ref="E3:F3"/>
    <mergeCell ref="A5:B5"/>
    <mergeCell ref="E5:F5"/>
    <mergeCell ref="A6:B6"/>
    <mergeCell ref="E6:F6"/>
    <mergeCell ref="A7:B7"/>
    <mergeCell ref="A8:B8"/>
    <mergeCell ref="A9:B9"/>
    <mergeCell ref="A10:B10"/>
    <mergeCell ref="B12:F12"/>
    <mergeCell ref="A13:E13"/>
    <mergeCell ref="A14:E14"/>
    <mergeCell ref="A15:E15"/>
    <mergeCell ref="A16:E16"/>
    <mergeCell ref="A17:D17"/>
    <mergeCell ref="A18:D18"/>
    <mergeCell ref="E18:F18"/>
    <mergeCell ref="A19:F20"/>
    <mergeCell ref="H19:N19"/>
    <mergeCell ref="B21:D21"/>
    <mergeCell ref="B22:D22"/>
    <mergeCell ref="B23:D23"/>
    <mergeCell ref="B24:D24"/>
    <mergeCell ref="B25:D25"/>
    <mergeCell ref="B26:D26"/>
    <mergeCell ref="A27:G27"/>
    <mergeCell ref="B41:F41"/>
    <mergeCell ref="A42:E42"/>
    <mergeCell ref="A43:E43"/>
    <mergeCell ref="A44:E44"/>
    <mergeCell ref="A45:E45"/>
    <mergeCell ref="A46:E46"/>
    <mergeCell ref="A47:E47"/>
    <mergeCell ref="A48:F48"/>
    <mergeCell ref="A49:D49"/>
    <mergeCell ref="E49:F49"/>
    <mergeCell ref="A50:D50"/>
    <mergeCell ref="E50:F50"/>
    <mergeCell ref="H52:N52"/>
    <mergeCell ref="B54:D54"/>
    <mergeCell ref="B55:D55"/>
    <mergeCell ref="B56:D56"/>
    <mergeCell ref="B57:D57"/>
    <mergeCell ref="B58:D58"/>
    <mergeCell ref="B59:D59"/>
    <mergeCell ref="A60:G60"/>
    <mergeCell ref="B82:F82"/>
    <mergeCell ref="A83:E83"/>
    <mergeCell ref="A84:E84"/>
    <mergeCell ref="A85:E85"/>
    <mergeCell ref="A86:E86"/>
    <mergeCell ref="A87:E87"/>
    <mergeCell ref="A88:E88"/>
    <mergeCell ref="A89:F89"/>
    <mergeCell ref="A90:D90"/>
    <mergeCell ref="E90:F90"/>
    <mergeCell ref="A91:D91"/>
    <mergeCell ref="E91:F91"/>
    <mergeCell ref="H93:N93"/>
    <mergeCell ref="B95:D95"/>
    <mergeCell ref="B96:D96"/>
    <mergeCell ref="B97:D97"/>
    <mergeCell ref="B98:D98"/>
    <mergeCell ref="B99:D99"/>
    <mergeCell ref="B100:D100"/>
    <mergeCell ref="A101:G101"/>
    <mergeCell ref="B124:F124"/>
    <mergeCell ref="A125:E125"/>
    <mergeCell ref="A126:E126"/>
    <mergeCell ref="A127:E127"/>
    <mergeCell ref="A128:E128"/>
    <mergeCell ref="A129:E129"/>
    <mergeCell ref="A130:E130"/>
    <mergeCell ref="A131:F131"/>
    <mergeCell ref="A132:D132"/>
    <mergeCell ref="E132:F132"/>
    <mergeCell ref="E133:F133"/>
    <mergeCell ref="H135:N135"/>
    <mergeCell ref="B137:D137"/>
    <mergeCell ref="B138:D138"/>
    <mergeCell ref="B139:D139"/>
    <mergeCell ref="B140:D140"/>
    <mergeCell ref="B141:D141"/>
    <mergeCell ref="B142:D142"/>
    <mergeCell ref="A143:G143"/>
  </mergeCells>
  <printOptions/>
  <pageMargins left="0.7875" right="0.7875" top="1.025" bottom="0.7875" header="0.7875" footer="0.5118055555555555"/>
  <pageSetup firstPageNumber="1" useFirstPageNumber="1" horizontalDpi="300" verticalDpi="300" orientation="landscape" paperSize="8"/>
  <headerFooter alignWithMargins="0">
    <oddHeader>&amp;CAnalisi costi archiviazione cartelle cliniche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110" zoomScaleNormal="110" workbookViewId="0" topLeftCell="A1">
      <selection activeCell="E2" sqref="E2"/>
    </sheetView>
  </sheetViews>
  <sheetFormatPr defaultColWidth="9.140625" defaultRowHeight="12.75"/>
  <cols>
    <col min="1" max="1" width="38.28125" style="0" customWidth="1"/>
    <col min="2" max="2" width="11.7109375" style="0" customWidth="1"/>
    <col min="3" max="3" width="12.8515625" style="0" customWidth="1"/>
    <col min="4" max="4" width="11.57421875" style="0" customWidth="1"/>
    <col min="5" max="5" width="11.7109375" style="0" customWidth="1"/>
    <col min="6" max="6" width="11.57421875" style="0" customWidth="1"/>
    <col min="7" max="7" width="12.8515625" style="0" customWidth="1"/>
    <col min="8" max="16384" width="11.57421875" style="0" customWidth="1"/>
  </cols>
  <sheetData>
    <row r="1" spans="1:13" ht="12.75">
      <c r="A1" s="62" t="s">
        <v>53</v>
      </c>
      <c r="B1" s="62"/>
      <c r="C1" s="62"/>
      <c r="D1" s="63"/>
      <c r="E1" s="64"/>
      <c r="F1" s="64"/>
      <c r="G1" s="65"/>
      <c r="H1" s="65"/>
      <c r="I1" s="66"/>
      <c r="J1" s="66"/>
      <c r="K1" s="66"/>
      <c r="L1" s="66"/>
      <c r="M1" s="66"/>
    </row>
    <row r="2" spans="1:13" ht="12.75">
      <c r="A2" s="62"/>
      <c r="B2" s="62"/>
      <c r="C2" s="62"/>
      <c r="D2" s="63"/>
      <c r="E2" s="67"/>
      <c r="F2" s="63"/>
      <c r="G2" s="68"/>
      <c r="H2" s="66"/>
      <c r="I2" s="66"/>
      <c r="J2" s="66"/>
      <c r="K2" s="66"/>
      <c r="L2" s="66"/>
      <c r="M2" s="66"/>
    </row>
    <row r="3" spans="1:13" ht="12.75">
      <c r="A3" s="1" t="s">
        <v>54</v>
      </c>
      <c r="B3" s="1">
        <v>7</v>
      </c>
      <c r="C3" s="62"/>
      <c r="D3" s="63"/>
      <c r="E3" s="69"/>
      <c r="G3" s="63"/>
      <c r="H3" s="66"/>
      <c r="I3" s="66"/>
      <c r="J3" s="66"/>
      <c r="K3" s="66"/>
      <c r="L3" s="66"/>
      <c r="M3" s="66"/>
    </row>
    <row r="5" spans="1:11" ht="24">
      <c r="A5" s="70"/>
      <c r="B5" s="71" t="s">
        <v>55</v>
      </c>
      <c r="C5" s="72" t="s">
        <v>5</v>
      </c>
      <c r="D5" s="64" t="s">
        <v>6</v>
      </c>
      <c r="E5" s="67" t="s">
        <v>56</v>
      </c>
      <c r="F5" s="67" t="s">
        <v>57</v>
      </c>
      <c r="G5" s="67" t="s">
        <v>58</v>
      </c>
      <c r="H5" s="67" t="s">
        <v>59</v>
      </c>
      <c r="J5" s="64"/>
      <c r="K5" s="64"/>
    </row>
    <row r="6" spans="1:13" ht="12.75">
      <c r="A6" s="73" t="s">
        <v>60</v>
      </c>
      <c r="B6" s="73"/>
      <c r="C6" s="74"/>
      <c r="D6" s="75"/>
      <c r="E6" s="1">
        <v>40</v>
      </c>
      <c r="G6" s="63"/>
      <c r="H6" s="66"/>
      <c r="I6" s="66"/>
      <c r="J6" s="66"/>
      <c r="K6" s="66"/>
      <c r="L6" s="66"/>
      <c r="M6" s="66"/>
    </row>
    <row r="7" spans="1:13" ht="12.75">
      <c r="A7" s="73" t="s">
        <v>20</v>
      </c>
      <c r="B7" s="73"/>
      <c r="C7" s="74"/>
      <c r="D7" s="75"/>
      <c r="E7" s="1">
        <v>2000</v>
      </c>
      <c r="F7" s="1">
        <v>2000</v>
      </c>
      <c r="G7" s="63"/>
      <c r="H7" s="66"/>
      <c r="I7" s="66"/>
      <c r="J7" s="66"/>
      <c r="K7" s="66"/>
      <c r="L7" s="66"/>
      <c r="M7" s="66"/>
    </row>
    <row r="8" spans="1:4" ht="24" customHeight="1">
      <c r="A8" s="76" t="s">
        <v>61</v>
      </c>
      <c r="B8" s="77" t="s">
        <v>62</v>
      </c>
      <c r="C8" s="78" t="s">
        <v>11</v>
      </c>
      <c r="D8" s="79">
        <v>7</v>
      </c>
    </row>
    <row r="9" spans="1:7" ht="24" customHeight="1">
      <c r="A9" s="80" t="s">
        <v>36</v>
      </c>
      <c r="B9" s="80"/>
      <c r="C9" s="80"/>
      <c r="D9" s="80"/>
      <c r="E9" s="81">
        <f>15000+E11*2</f>
        <v>16120</v>
      </c>
      <c r="F9" s="82">
        <v>39000</v>
      </c>
      <c r="G9" s="81"/>
    </row>
    <row r="10" spans="1:6" ht="24" customHeight="1">
      <c r="A10" s="76" t="s">
        <v>37</v>
      </c>
      <c r="B10" s="77" t="s">
        <v>63</v>
      </c>
      <c r="C10" s="78" t="s">
        <v>11</v>
      </c>
      <c r="D10" s="79">
        <v>12</v>
      </c>
      <c r="F10" s="82"/>
    </row>
    <row r="11" spans="1:7" ht="24" customHeight="1">
      <c r="A11" s="80" t="s">
        <v>18</v>
      </c>
      <c r="B11" s="80"/>
      <c r="C11" s="80"/>
      <c r="D11" s="80"/>
      <c r="E11" s="81">
        <v>560</v>
      </c>
      <c r="F11" s="82">
        <v>3000</v>
      </c>
      <c r="G11" s="81"/>
    </row>
    <row r="12" spans="1:6" ht="24" customHeight="1">
      <c r="A12" s="76" t="s">
        <v>13</v>
      </c>
      <c r="B12" s="71" t="s">
        <v>64</v>
      </c>
      <c r="C12" s="83" t="s">
        <v>14</v>
      </c>
      <c r="D12" s="79">
        <v>4</v>
      </c>
      <c r="F12" s="82"/>
    </row>
    <row r="13" spans="1:7" ht="24" customHeight="1">
      <c r="A13" s="76" t="s">
        <v>38</v>
      </c>
      <c r="B13" s="76"/>
      <c r="C13" s="76"/>
      <c r="D13" s="76"/>
      <c r="E13" s="84">
        <f>E11</f>
        <v>560</v>
      </c>
      <c r="F13" s="82">
        <v>3000</v>
      </c>
      <c r="G13" s="84"/>
    </row>
    <row r="14" spans="1:6" ht="24" customHeight="1">
      <c r="A14" s="80" t="s">
        <v>65</v>
      </c>
      <c r="B14" s="85" t="s">
        <v>66</v>
      </c>
      <c r="C14" s="78" t="s">
        <v>11</v>
      </c>
      <c r="D14" s="79">
        <v>12</v>
      </c>
      <c r="F14" s="82"/>
    </row>
    <row r="15" spans="1:7" ht="24" customHeight="1">
      <c r="A15" s="76" t="s">
        <v>67</v>
      </c>
      <c r="B15" s="76"/>
      <c r="C15" s="76"/>
      <c r="D15" s="76"/>
      <c r="E15" s="70">
        <f>INT((E9-E7)/7)</f>
        <v>2017</v>
      </c>
      <c r="F15" s="70">
        <f>INT((F9-F7)/7)</f>
        <v>5285</v>
      </c>
      <c r="G15" s="84"/>
    </row>
    <row r="16" spans="1:6" ht="24" customHeight="1">
      <c r="A16" s="76" t="s">
        <v>41</v>
      </c>
      <c r="B16" s="71" t="s">
        <v>68</v>
      </c>
      <c r="C16" s="83" t="s">
        <v>14</v>
      </c>
      <c r="D16" s="79">
        <v>4</v>
      </c>
      <c r="F16" s="82"/>
    </row>
    <row r="17" spans="1:7" ht="24" customHeight="1">
      <c r="A17" s="80" t="s">
        <v>38</v>
      </c>
      <c r="B17" s="80"/>
      <c r="C17" s="80"/>
      <c r="D17" s="80"/>
      <c r="E17" s="84">
        <f>E15</f>
        <v>2017</v>
      </c>
      <c r="F17" s="70">
        <f>F15</f>
        <v>5285</v>
      </c>
      <c r="G17" s="84"/>
    </row>
    <row r="18" spans="1:7" ht="11.25" customHeight="1">
      <c r="A18" s="86"/>
      <c r="B18" s="86"/>
      <c r="C18" s="83"/>
      <c r="E18" s="84"/>
      <c r="G18" s="84"/>
    </row>
    <row r="19" spans="1:7" ht="16.5" customHeight="1">
      <c r="A19" s="87" t="s">
        <v>69</v>
      </c>
      <c r="B19" s="86"/>
      <c r="C19" s="83"/>
      <c r="E19" s="84"/>
      <c r="G19" s="84"/>
    </row>
    <row r="20" spans="1:9" ht="12.75">
      <c r="A20" s="88"/>
      <c r="B20" s="89" t="s">
        <v>70</v>
      </c>
      <c r="C20" s="89" t="s">
        <v>71</v>
      </c>
      <c r="D20" s="89" t="s">
        <v>72</v>
      </c>
      <c r="E20" s="89" t="s">
        <v>73</v>
      </c>
      <c r="F20" s="89" t="s">
        <v>74</v>
      </c>
      <c r="G20" s="89" t="s">
        <v>7</v>
      </c>
      <c r="H20" s="90" t="s">
        <v>75</v>
      </c>
      <c r="I20" s="91" t="s">
        <v>76</v>
      </c>
    </row>
    <row r="21" spans="1:9" ht="12.75">
      <c r="A21" s="92" t="s">
        <v>28</v>
      </c>
      <c r="B21" s="93">
        <f>E$9*$D$8</f>
        <v>112840</v>
      </c>
      <c r="C21" s="93">
        <f aca="true" t="shared" si="0" ref="C21:C27">$E$11*$D$10</f>
        <v>6720</v>
      </c>
      <c r="D21" s="93">
        <v>0</v>
      </c>
      <c r="E21" s="93">
        <f>E$15*$D$14</f>
        <v>24204</v>
      </c>
      <c r="F21" s="93">
        <v>0</v>
      </c>
      <c r="G21" s="94">
        <f aca="true" t="shared" si="1" ref="G21:G27">SUM(B21:F21)</f>
        <v>143764</v>
      </c>
      <c r="H21">
        <f aca="true" t="shared" si="2" ref="H21:H27">IF($E$9-$E$7&gt;$E$15*I21,$E$15*I21,0)</f>
        <v>2017</v>
      </c>
      <c r="I21">
        <v>1</v>
      </c>
    </row>
    <row r="22" spans="1:9" ht="12.75">
      <c r="A22" s="92" t="s">
        <v>29</v>
      </c>
      <c r="B22" s="93">
        <f aca="true" t="shared" si="3" ref="B22:B27">B21-E$15*$D$8</f>
        <v>98721</v>
      </c>
      <c r="C22" s="93">
        <f t="shared" si="0"/>
        <v>6720</v>
      </c>
      <c r="D22" s="93">
        <f>$E$13*$D$12+D21</f>
        <v>2240</v>
      </c>
      <c r="E22" s="93">
        <f aca="true" t="shared" si="4" ref="E22:E27">E21</f>
        <v>24204</v>
      </c>
      <c r="F22" s="93">
        <f aca="true" t="shared" si="5" ref="F22:F27">$E$17*$D$16+F21</f>
        <v>8068</v>
      </c>
      <c r="G22" s="94">
        <f t="shared" si="1"/>
        <v>139953</v>
      </c>
      <c r="H22">
        <f t="shared" si="2"/>
        <v>4034</v>
      </c>
      <c r="I22">
        <v>2</v>
      </c>
    </row>
    <row r="23" spans="1:9" ht="13.5">
      <c r="A23" s="95" t="s">
        <v>30</v>
      </c>
      <c r="B23" s="93">
        <f t="shared" si="3"/>
        <v>84602</v>
      </c>
      <c r="C23" s="93">
        <f t="shared" si="0"/>
        <v>6720</v>
      </c>
      <c r="D23" s="93">
        <f>$E$13*2*$D$12</f>
        <v>4480</v>
      </c>
      <c r="E23" s="93">
        <f t="shared" si="4"/>
        <v>24204</v>
      </c>
      <c r="F23" s="93">
        <f t="shared" si="5"/>
        <v>16136</v>
      </c>
      <c r="G23" s="94">
        <f t="shared" si="1"/>
        <v>136142</v>
      </c>
      <c r="H23">
        <f t="shared" si="2"/>
        <v>6051</v>
      </c>
      <c r="I23">
        <v>3</v>
      </c>
    </row>
    <row r="24" spans="1:9" ht="13.5">
      <c r="A24" s="95" t="s">
        <v>31</v>
      </c>
      <c r="B24" s="93">
        <f t="shared" si="3"/>
        <v>70483</v>
      </c>
      <c r="C24" s="93">
        <f t="shared" si="0"/>
        <v>6720</v>
      </c>
      <c r="D24" s="93">
        <f>$E$13*3*$D$12</f>
        <v>6720</v>
      </c>
      <c r="E24" s="93">
        <f t="shared" si="4"/>
        <v>24204</v>
      </c>
      <c r="F24" s="93">
        <f t="shared" si="5"/>
        <v>24204</v>
      </c>
      <c r="G24" s="94">
        <f t="shared" si="1"/>
        <v>132331</v>
      </c>
      <c r="H24">
        <f t="shared" si="2"/>
        <v>8068</v>
      </c>
      <c r="I24">
        <v>4</v>
      </c>
    </row>
    <row r="25" spans="1:9" ht="13.5">
      <c r="A25" s="95" t="s">
        <v>32</v>
      </c>
      <c r="B25" s="93">
        <f t="shared" si="3"/>
        <v>56364</v>
      </c>
      <c r="C25" s="93">
        <f t="shared" si="0"/>
        <v>6720</v>
      </c>
      <c r="D25" s="93">
        <f>$E$13*4*$D$12</f>
        <v>8960</v>
      </c>
      <c r="E25" s="93">
        <f t="shared" si="4"/>
        <v>24204</v>
      </c>
      <c r="F25" s="93">
        <f t="shared" si="5"/>
        <v>32272</v>
      </c>
      <c r="G25" s="94">
        <f t="shared" si="1"/>
        <v>128520</v>
      </c>
      <c r="H25">
        <f t="shared" si="2"/>
        <v>10085</v>
      </c>
      <c r="I25">
        <v>5</v>
      </c>
    </row>
    <row r="26" spans="1:9" ht="13.5">
      <c r="A26" s="95" t="s">
        <v>33</v>
      </c>
      <c r="B26" s="93">
        <f t="shared" si="3"/>
        <v>42245</v>
      </c>
      <c r="C26" s="93">
        <f t="shared" si="0"/>
        <v>6720</v>
      </c>
      <c r="D26" s="93">
        <f>$E$13*5*$D$12</f>
        <v>11200</v>
      </c>
      <c r="E26" s="93">
        <f t="shared" si="4"/>
        <v>24204</v>
      </c>
      <c r="F26" s="93">
        <f t="shared" si="5"/>
        <v>40340</v>
      </c>
      <c r="G26" s="94">
        <f t="shared" si="1"/>
        <v>124709</v>
      </c>
      <c r="H26">
        <f t="shared" si="2"/>
        <v>12102</v>
      </c>
      <c r="I26">
        <v>6</v>
      </c>
    </row>
    <row r="27" spans="1:9" ht="13.5">
      <c r="A27" s="95" t="s">
        <v>34</v>
      </c>
      <c r="B27" s="93">
        <f t="shared" si="3"/>
        <v>28126</v>
      </c>
      <c r="C27" s="93">
        <f t="shared" si="0"/>
        <v>6720</v>
      </c>
      <c r="D27" s="93">
        <f>$E$13*6*$D$12</f>
        <v>13440</v>
      </c>
      <c r="E27" s="93">
        <f t="shared" si="4"/>
        <v>24204</v>
      </c>
      <c r="F27" s="93">
        <f t="shared" si="5"/>
        <v>48408</v>
      </c>
      <c r="G27" s="94">
        <f t="shared" si="1"/>
        <v>120898</v>
      </c>
      <c r="H27">
        <f t="shared" si="2"/>
        <v>14119</v>
      </c>
      <c r="I27">
        <v>7</v>
      </c>
    </row>
    <row r="28" spans="1:7" ht="12.75">
      <c r="A28" s="96" t="s">
        <v>77</v>
      </c>
      <c r="G28" s="97">
        <f>SUM(G21:G27)</f>
        <v>926317</v>
      </c>
    </row>
    <row r="30" spans="1:7" ht="12.75">
      <c r="A30" s="87" t="s">
        <v>78</v>
      </c>
      <c r="B30" s="86"/>
      <c r="C30" s="83"/>
      <c r="E30" s="84"/>
      <c r="G30" s="84"/>
    </row>
    <row r="31" spans="1:8" ht="12.75">
      <c r="A31" s="88"/>
      <c r="B31" s="89" t="s">
        <v>70</v>
      </c>
      <c r="C31" s="89" t="s">
        <v>71</v>
      </c>
      <c r="D31" s="89" t="s">
        <v>72</v>
      </c>
      <c r="E31" s="89" t="s">
        <v>73</v>
      </c>
      <c r="F31" s="89" t="s">
        <v>74</v>
      </c>
      <c r="G31" s="89" t="s">
        <v>7</v>
      </c>
      <c r="H31" s="90" t="s">
        <v>75</v>
      </c>
    </row>
    <row r="32" spans="1:8" ht="12.75">
      <c r="A32" s="92" t="s">
        <v>28</v>
      </c>
      <c r="B32" s="93">
        <f>F$9*$D$8</f>
        <v>273000</v>
      </c>
      <c r="C32" s="93">
        <f>$F$11*$D$1</f>
        <v>0</v>
      </c>
      <c r="D32" s="93">
        <v>0</v>
      </c>
      <c r="E32" s="93">
        <f>F$15*$D$14</f>
        <v>63420</v>
      </c>
      <c r="F32" s="93">
        <v>0</v>
      </c>
      <c r="G32" s="94">
        <f aca="true" t="shared" si="6" ref="G32:G38">SUM(B32:F32)</f>
        <v>336420</v>
      </c>
      <c r="H32">
        <f aca="true" t="shared" si="7" ref="H32:H38">IF($F$9-$F$7&gt;$F$15*$I21,$F$15*$I21,0)</f>
        <v>5285</v>
      </c>
    </row>
    <row r="33" spans="1:8" ht="12.75">
      <c r="A33" s="92" t="s">
        <v>29</v>
      </c>
      <c r="B33" s="93">
        <f aca="true" t="shared" si="8" ref="B33:B38">B32-F$15*$D$8</f>
        <v>236005</v>
      </c>
      <c r="C33" s="93">
        <f aca="true" t="shared" si="9" ref="C33:C38">$F$11*$D$10</f>
        <v>36000</v>
      </c>
      <c r="D33" s="93">
        <f aca="true" t="shared" si="10" ref="D33:D38">$F$13*$D$12+D32</f>
        <v>12000</v>
      </c>
      <c r="E33" s="93">
        <f aca="true" t="shared" si="11" ref="E33:E38">E32</f>
        <v>63420</v>
      </c>
      <c r="F33" s="93">
        <f aca="true" t="shared" si="12" ref="F33:F38">$F$17*$D$16+F32</f>
        <v>21140</v>
      </c>
      <c r="G33" s="94">
        <f t="shared" si="6"/>
        <v>368565</v>
      </c>
      <c r="H33">
        <f t="shared" si="7"/>
        <v>10570</v>
      </c>
    </row>
    <row r="34" spans="1:8" ht="13.5">
      <c r="A34" s="95" t="s">
        <v>30</v>
      </c>
      <c r="B34" s="93">
        <f t="shared" si="8"/>
        <v>199010</v>
      </c>
      <c r="C34" s="93">
        <f t="shared" si="9"/>
        <v>36000</v>
      </c>
      <c r="D34" s="93">
        <f t="shared" si="10"/>
        <v>24000</v>
      </c>
      <c r="E34" s="93">
        <f t="shared" si="11"/>
        <v>63420</v>
      </c>
      <c r="F34" s="93">
        <f t="shared" si="12"/>
        <v>42280</v>
      </c>
      <c r="G34" s="94">
        <f t="shared" si="6"/>
        <v>364710</v>
      </c>
      <c r="H34">
        <f t="shared" si="7"/>
        <v>15855</v>
      </c>
    </row>
    <row r="35" spans="1:8" ht="13.5">
      <c r="A35" s="95" t="s">
        <v>31</v>
      </c>
      <c r="B35" s="93">
        <f t="shared" si="8"/>
        <v>162015</v>
      </c>
      <c r="C35" s="93">
        <f t="shared" si="9"/>
        <v>36000</v>
      </c>
      <c r="D35" s="93">
        <f t="shared" si="10"/>
        <v>36000</v>
      </c>
      <c r="E35" s="93">
        <f t="shared" si="11"/>
        <v>63420</v>
      </c>
      <c r="F35" s="93">
        <f t="shared" si="12"/>
        <v>63420</v>
      </c>
      <c r="G35" s="94">
        <f t="shared" si="6"/>
        <v>360855</v>
      </c>
      <c r="H35">
        <f t="shared" si="7"/>
        <v>21140</v>
      </c>
    </row>
    <row r="36" spans="1:8" ht="13.5">
      <c r="A36" s="95" t="s">
        <v>32</v>
      </c>
      <c r="B36" s="93">
        <f t="shared" si="8"/>
        <v>125020</v>
      </c>
      <c r="C36" s="93">
        <f t="shared" si="9"/>
        <v>36000</v>
      </c>
      <c r="D36" s="93">
        <f t="shared" si="10"/>
        <v>48000</v>
      </c>
      <c r="E36" s="93">
        <f t="shared" si="11"/>
        <v>63420</v>
      </c>
      <c r="F36" s="93">
        <f t="shared" si="12"/>
        <v>84560</v>
      </c>
      <c r="G36" s="94">
        <f t="shared" si="6"/>
        <v>357000</v>
      </c>
      <c r="H36">
        <f t="shared" si="7"/>
        <v>26425</v>
      </c>
    </row>
    <row r="37" spans="1:8" ht="13.5">
      <c r="A37" s="95" t="s">
        <v>33</v>
      </c>
      <c r="B37" s="93">
        <f t="shared" si="8"/>
        <v>88025</v>
      </c>
      <c r="C37" s="93">
        <f t="shared" si="9"/>
        <v>36000</v>
      </c>
      <c r="D37" s="93">
        <f t="shared" si="10"/>
        <v>60000</v>
      </c>
      <c r="E37" s="93">
        <f t="shared" si="11"/>
        <v>63420</v>
      </c>
      <c r="F37" s="93">
        <f t="shared" si="12"/>
        <v>105700</v>
      </c>
      <c r="G37" s="94">
        <f t="shared" si="6"/>
        <v>353145</v>
      </c>
      <c r="H37">
        <f t="shared" si="7"/>
        <v>31710</v>
      </c>
    </row>
    <row r="38" spans="1:8" ht="13.5">
      <c r="A38" s="95" t="s">
        <v>34</v>
      </c>
      <c r="B38" s="93">
        <f t="shared" si="8"/>
        <v>51030</v>
      </c>
      <c r="C38" s="93">
        <f t="shared" si="9"/>
        <v>36000</v>
      </c>
      <c r="D38" s="93">
        <f t="shared" si="10"/>
        <v>72000</v>
      </c>
      <c r="E38" s="93">
        <f t="shared" si="11"/>
        <v>63420</v>
      </c>
      <c r="F38" s="93">
        <f t="shared" si="12"/>
        <v>126840</v>
      </c>
      <c r="G38" s="94">
        <f t="shared" si="6"/>
        <v>349290</v>
      </c>
      <c r="H38">
        <f t="shared" si="7"/>
        <v>36995</v>
      </c>
    </row>
    <row r="39" spans="1:7" ht="12.75">
      <c r="A39" s="96" t="s">
        <v>77</v>
      </c>
      <c r="G39" s="97">
        <f>SUM(G32:G38)</f>
        <v>2489985</v>
      </c>
    </row>
  </sheetData>
  <sheetProtection selectLockedCells="1" selectUnlockedCells="1"/>
  <mergeCells count="7">
    <mergeCell ref="E1:F1"/>
    <mergeCell ref="G1:H1"/>
    <mergeCell ref="A9:D9"/>
    <mergeCell ref="A11:D11"/>
    <mergeCell ref="A13:D13"/>
    <mergeCell ref="A15:D15"/>
    <mergeCell ref="A17:D17"/>
  </mergeCells>
  <printOptions/>
  <pageMargins left="0.7875" right="0.7875" top="1.025" bottom="0.7875" header="0.7875" footer="0.5118055555555555"/>
  <pageSetup horizontalDpi="300" verticalDpi="300" orientation="landscape" paperSize="8"/>
  <headerFooter alignWithMargins="0">
    <oddHeader>&amp;CAnalisi costi archiviazione cartelle cliniche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="110" zoomScaleNormal="110" workbookViewId="0" topLeftCell="A1">
      <selection activeCell="J2" sqref="J2"/>
    </sheetView>
  </sheetViews>
  <sheetFormatPr defaultColWidth="9.140625" defaultRowHeight="12.75"/>
  <cols>
    <col min="1" max="1" width="48.421875" style="98" customWidth="1"/>
    <col min="2" max="2" width="18.140625" style="99" customWidth="1"/>
    <col min="3" max="3" width="13.140625" style="98" customWidth="1"/>
    <col min="4" max="4" width="16.421875" style="98" customWidth="1"/>
    <col min="5" max="5" width="14.00390625" style="98" customWidth="1"/>
    <col min="6" max="6" width="11.57421875" style="98" customWidth="1"/>
    <col min="7" max="7" width="14.421875" style="98" customWidth="1"/>
    <col min="8" max="8" width="13.28125" style="98" customWidth="1"/>
    <col min="9" max="9" width="13.00390625" style="98" customWidth="1"/>
    <col min="10" max="10" width="9.28125" style="98" customWidth="1"/>
    <col min="11" max="65" width="11.57421875" style="98" customWidth="1"/>
    <col min="66" max="16384" width="11.57421875" style="0" customWidth="1"/>
  </cols>
  <sheetData>
    <row r="1" spans="1:11" ht="15.75">
      <c r="A1" s="100" t="s">
        <v>79</v>
      </c>
      <c r="B1" s="101" t="s">
        <v>80</v>
      </c>
      <c r="C1" s="102" t="s">
        <v>81</v>
      </c>
      <c r="D1" s="103" t="s">
        <v>82</v>
      </c>
      <c r="E1" s="102" t="s">
        <v>83</v>
      </c>
      <c r="F1" s="102" t="s">
        <v>84</v>
      </c>
      <c r="G1" s="102" t="s">
        <v>85</v>
      </c>
      <c r="H1" s="102" t="s">
        <v>86</v>
      </c>
      <c r="I1" s="102" t="s">
        <v>87</v>
      </c>
      <c r="J1" s="102" t="s">
        <v>88</v>
      </c>
      <c r="K1" s="102" t="s">
        <v>89</v>
      </c>
    </row>
    <row r="2" spans="1:11" ht="15.75">
      <c r="A2" s="104" t="s">
        <v>90</v>
      </c>
      <c r="B2" s="105">
        <v>560</v>
      </c>
      <c r="C2" s="106">
        <v>15000</v>
      </c>
      <c r="D2" s="106">
        <f>C2*0.9</f>
        <v>13500</v>
      </c>
      <c r="E2" s="107">
        <f>'Storico cartelle cliniche'!C56</f>
        <v>2694063</v>
      </c>
      <c r="F2" s="107">
        <f>E2/D2</f>
        <v>199.560222222222</v>
      </c>
      <c r="G2" s="107">
        <v>60000</v>
      </c>
      <c r="H2" s="98">
        <f>60000/5</f>
        <v>12000</v>
      </c>
      <c r="I2" s="98">
        <f>80/1000000</f>
        <v>8E-05</v>
      </c>
      <c r="J2" s="98" t="s">
        <v>91</v>
      </c>
      <c r="K2" s="98" t="e">
        <f>J2*B2</f>
        <v>#VALUE!</v>
      </c>
    </row>
    <row r="3" spans="1:8" ht="15.75">
      <c r="A3" s="104" t="s">
        <v>92</v>
      </c>
      <c r="B3" s="108">
        <v>7</v>
      </c>
      <c r="D3"/>
      <c r="H3" s="98">
        <f>B2*H2</f>
        <v>6720000</v>
      </c>
    </row>
    <row r="4" spans="1:8" ht="15.75">
      <c r="A4" s="104" t="s">
        <v>93</v>
      </c>
      <c r="B4" s="109">
        <v>34000</v>
      </c>
      <c r="C4" s="98">
        <f>B4*50/2</f>
        <v>850000</v>
      </c>
      <c r="D4"/>
      <c r="H4" s="98">
        <f>34000/560</f>
        <v>60.714285714285715</v>
      </c>
    </row>
    <row r="5" spans="1:4" ht="15.75">
      <c r="A5" s="104" t="s">
        <v>94</v>
      </c>
      <c r="B5" s="110">
        <f>B3*B2</f>
        <v>3920</v>
      </c>
      <c r="C5" s="111">
        <f>B5*5+B5*4+B5*3+B5*2+B5</f>
        <v>58800</v>
      </c>
      <c r="D5" s="111">
        <f>B5*5*2</f>
        <v>39200</v>
      </c>
    </row>
    <row r="6" spans="1:4" ht="15.75">
      <c r="A6" s="104" t="s">
        <v>95</v>
      </c>
      <c r="B6" s="111">
        <f>C2*B3</f>
        <v>105000</v>
      </c>
      <c r="C6" s="111">
        <f>B6*5</f>
        <v>525000</v>
      </c>
      <c r="D6" s="111"/>
    </row>
    <row r="7" spans="1:2" ht="15">
      <c r="A7" s="98" t="s">
        <v>96</v>
      </c>
      <c r="B7" s="111">
        <f>B4*B8</f>
        <v>170000</v>
      </c>
    </row>
    <row r="8" spans="1:2" ht="15.75">
      <c r="A8" s="104" t="s">
        <v>97</v>
      </c>
      <c r="B8" s="108">
        <v>5</v>
      </c>
    </row>
    <row r="9" spans="1:4" ht="15.75">
      <c r="A9" s="104" t="s">
        <v>98</v>
      </c>
      <c r="B9" s="111">
        <f>'Storico cartelle cliniche'!C54</f>
        <v>1045339</v>
      </c>
      <c r="C9" s="111"/>
      <c r="D9" s="111"/>
    </row>
    <row r="10" spans="1:4" ht="30">
      <c r="A10" s="104" t="s">
        <v>99</v>
      </c>
      <c r="B10" s="111">
        <f>B9*2.1</f>
        <v>2195211.9</v>
      </c>
      <c r="C10" s="111"/>
      <c r="D10" s="111"/>
    </row>
    <row r="11" spans="1:2" ht="19.5" customHeight="1">
      <c r="A11" s="100" t="s">
        <v>100</v>
      </c>
      <c r="B11" s="112">
        <v>7</v>
      </c>
    </row>
    <row r="12" spans="1:2" ht="30.75" customHeight="1">
      <c r="A12" s="100" t="s">
        <v>101</v>
      </c>
      <c r="B12" s="108">
        <f>B5*B11*(B11-1)/2+B6*5</f>
        <v>607320</v>
      </c>
    </row>
    <row r="13" spans="1:2" ht="30.75" customHeight="1">
      <c r="A13" s="100" t="s">
        <v>102</v>
      </c>
      <c r="B13" s="108">
        <f>B7*B11*(B11-1)/2+B22+B6</f>
        <v>3814944</v>
      </c>
    </row>
    <row r="14" spans="1:2" ht="30">
      <c r="A14" s="100" t="s">
        <v>103</v>
      </c>
      <c r="B14" s="108">
        <f>B13+B9+B23</f>
        <v>5226151.65</v>
      </c>
    </row>
    <row r="15" spans="1:2" ht="30">
      <c r="A15" s="100" t="s">
        <v>104</v>
      </c>
      <c r="B15" s="108">
        <f>B13+B10</f>
        <v>6010155.9</v>
      </c>
    </row>
    <row r="16" spans="1:2" ht="15">
      <c r="A16" s="100"/>
      <c r="B16" s="108"/>
    </row>
    <row r="17" spans="1:9" ht="15.75">
      <c r="A17" s="100" t="s">
        <v>105</v>
      </c>
      <c r="B17" s="110"/>
      <c r="E17" s="102" t="s">
        <v>106</v>
      </c>
      <c r="F17" s="102" t="s">
        <v>107</v>
      </c>
      <c r="G17" s="102" t="s">
        <v>108</v>
      </c>
      <c r="H17" s="102" t="s">
        <v>109</v>
      </c>
      <c r="I17" s="102" t="s">
        <v>110</v>
      </c>
    </row>
    <row r="18" spans="1:9" ht="15.75">
      <c r="A18" s="104" t="s">
        <v>111</v>
      </c>
      <c r="B18" s="109">
        <f>B4*14/1000</f>
        <v>476</v>
      </c>
      <c r="C18" s="98">
        <f>B18*5</f>
        <v>2380</v>
      </c>
      <c r="E18" s="98">
        <f>F18/1000</f>
        <v>0.01416</v>
      </c>
      <c r="F18" s="98">
        <f>G18/1000</f>
        <v>14.16</v>
      </c>
      <c r="G18" s="98">
        <f>80*177</f>
        <v>14160</v>
      </c>
      <c r="H18" s="98">
        <v>177</v>
      </c>
      <c r="I18" s="98">
        <f>G18/H18</f>
        <v>80</v>
      </c>
    </row>
    <row r="19" spans="1:2" ht="15.75">
      <c r="A19" s="104" t="s">
        <v>112</v>
      </c>
      <c r="B19" s="109">
        <f>'Storico cartelle cliniche'!C54*5/1000</f>
        <v>5226.695</v>
      </c>
    </row>
    <row r="20" spans="1:10" ht="15.75">
      <c r="A20" s="104" t="s">
        <v>113</v>
      </c>
      <c r="B20" s="110">
        <f>'Costi conservazione digitale su consip'!B6</f>
        <v>14</v>
      </c>
      <c r="J20" s="111" t="e">
        <f>J2*B20</f>
        <v>#VALUE!</v>
      </c>
    </row>
    <row r="21" spans="1:2" ht="30">
      <c r="A21" s="104" t="s">
        <v>114</v>
      </c>
      <c r="B21" s="110">
        <f>'Costi conservazione digitale su consip'!B5*B18</f>
        <v>7616</v>
      </c>
    </row>
    <row r="22" spans="1:2" ht="28.5" customHeight="1">
      <c r="A22" s="104" t="s">
        <v>115</v>
      </c>
      <c r="B22" s="108">
        <f>'Costi conservazione digitale su consip'!B6*B18*B11*(B11-1)/2</f>
        <v>139944</v>
      </c>
    </row>
    <row r="23" spans="1:2" ht="30">
      <c r="A23" s="113" t="s">
        <v>116</v>
      </c>
      <c r="B23" s="114">
        <f>B19*B20*5</f>
        <v>365868.65</v>
      </c>
    </row>
  </sheetData>
  <sheetProtection selectLockedCells="1" selectUnlockedCells="1"/>
  <printOptions/>
  <pageMargins left="0.7875" right="0.7875" top="1.025" bottom="0.7875" header="0.7875" footer="0.5118055555555555"/>
  <pageSetup horizontalDpi="300" verticalDpi="300" orientation="landscape" paperSize="8"/>
  <headerFooter alignWithMargins="0">
    <oddHeader>&amp;CAnalisi costi archiviazione cartelle cliniche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28"/>
  <sheetViews>
    <sheetView zoomScale="110" zoomScaleNormal="110" workbookViewId="0" topLeftCell="A1">
      <selection activeCell="B8" sqref="B8"/>
    </sheetView>
  </sheetViews>
  <sheetFormatPr defaultColWidth="9.140625" defaultRowHeight="12.75"/>
  <cols>
    <col min="1" max="1" width="39.421875" style="0" customWidth="1"/>
    <col min="2" max="16384" width="11.57421875" style="0" customWidth="1"/>
  </cols>
  <sheetData>
    <row r="1" ht="12.75">
      <c r="A1" s="115" t="s">
        <v>117</v>
      </c>
    </row>
    <row r="2" spans="1:2" ht="13.5">
      <c r="A2" s="115" t="s">
        <v>118</v>
      </c>
      <c r="B2" s="116">
        <v>52</v>
      </c>
    </row>
    <row r="3" spans="1:2" ht="13.5">
      <c r="A3" s="115" t="s">
        <v>119</v>
      </c>
      <c r="B3" s="116">
        <v>30</v>
      </c>
    </row>
    <row r="4" spans="1:2" ht="13.5">
      <c r="A4" s="115" t="s">
        <v>120</v>
      </c>
      <c r="B4" s="116">
        <v>22</v>
      </c>
    </row>
    <row r="5" spans="1:2" ht="13.5">
      <c r="A5" s="115" t="s">
        <v>121</v>
      </c>
      <c r="B5" s="116">
        <v>16</v>
      </c>
    </row>
    <row r="6" spans="1:2" ht="13.5">
      <c r="A6" s="115" t="s">
        <v>122</v>
      </c>
      <c r="B6" s="116">
        <v>14</v>
      </c>
    </row>
    <row r="7" spans="1:2" ht="13.5">
      <c r="A7" s="115" t="s">
        <v>123</v>
      </c>
      <c r="B7" s="116">
        <v>10</v>
      </c>
    </row>
    <row r="8" spans="1:2" ht="13.5">
      <c r="A8" s="117" t="s">
        <v>124</v>
      </c>
      <c r="B8" s="116">
        <v>2.8</v>
      </c>
    </row>
    <row r="9" ht="12.75">
      <c r="A9" s="115" t="s">
        <v>125</v>
      </c>
    </row>
    <row r="13" ht="13.5">
      <c r="A13" s="117" t="s">
        <v>126</v>
      </c>
    </row>
    <row r="15" ht="13.5">
      <c r="A15" s="118" t="s">
        <v>127</v>
      </c>
    </row>
    <row r="16" ht="13.5">
      <c r="A16" s="117" t="s">
        <v>128</v>
      </c>
    </row>
    <row r="18" ht="13.5">
      <c r="A18" s="118" t="s">
        <v>129</v>
      </c>
    </row>
    <row r="20" ht="13.5">
      <c r="A20" s="118" t="s">
        <v>130</v>
      </c>
    </row>
    <row r="22" ht="13.5">
      <c r="A22" s="118" t="s">
        <v>131</v>
      </c>
    </row>
    <row r="24" ht="13.5">
      <c r="A24" s="118" t="s">
        <v>132</v>
      </c>
    </row>
    <row r="26" ht="13.5">
      <c r="A26" s="118" t="s">
        <v>133</v>
      </c>
    </row>
    <row r="27" ht="13.5">
      <c r="A27" s="119" t="s">
        <v>134</v>
      </c>
    </row>
    <row r="28" ht="13.5">
      <c r="A28" s="117" t="s">
        <v>135</v>
      </c>
    </row>
  </sheetData>
  <sheetProtection selectLockedCells="1" selectUnlockedCells="1"/>
  <printOptions/>
  <pageMargins left="0.7875" right="0.7875" top="1.025" bottom="0.7875" header="0.7875" footer="0.5118055555555555"/>
  <pageSetup horizontalDpi="300" verticalDpi="300" orientation="landscape" paperSize="8"/>
  <headerFooter alignWithMargins="0">
    <oddHeader>&amp;CAnalisi costi archiviazione cartelle cliniche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56"/>
  <sheetViews>
    <sheetView zoomScale="110" zoomScaleNormal="110" workbookViewId="0" topLeftCell="A28">
      <selection activeCell="C48" sqref="C48"/>
    </sheetView>
  </sheetViews>
  <sheetFormatPr defaultColWidth="9.140625" defaultRowHeight="12.75"/>
  <cols>
    <col min="1" max="1" width="26.28125" style="0" customWidth="1"/>
    <col min="2" max="2" width="12.8515625" style="0" customWidth="1"/>
    <col min="3" max="3" width="11.57421875" style="0" customWidth="1"/>
    <col min="4" max="16384" width="11.57421875" style="0" customWidth="1"/>
  </cols>
  <sheetData>
    <row r="1" spans="1:3" ht="12.75">
      <c r="A1" s="96" t="s">
        <v>136</v>
      </c>
      <c r="B1" s="96" t="s">
        <v>137</v>
      </c>
      <c r="C1" s="90" t="s">
        <v>138</v>
      </c>
    </row>
    <row r="2" spans="1:3" ht="12.75">
      <c r="A2" s="120" t="s">
        <v>139</v>
      </c>
      <c r="B2" t="s">
        <v>140</v>
      </c>
      <c r="C2" s="121">
        <v>22775</v>
      </c>
    </row>
    <row r="3" spans="1:3" ht="12.75">
      <c r="A3" s="120" t="s">
        <v>139</v>
      </c>
      <c r="B3" t="s">
        <v>141</v>
      </c>
      <c r="C3" s="121">
        <v>52167</v>
      </c>
    </row>
    <row r="4" spans="1:3" ht="12.75">
      <c r="A4" s="120" t="s">
        <v>142</v>
      </c>
      <c r="B4" t="s">
        <v>140</v>
      </c>
      <c r="C4" s="121">
        <v>25286</v>
      </c>
    </row>
    <row r="5" spans="1:3" ht="12.75">
      <c r="A5" s="120" t="s">
        <v>142</v>
      </c>
      <c r="B5" t="s">
        <v>141</v>
      </c>
      <c r="C5" s="121">
        <v>50335</v>
      </c>
    </row>
    <row r="6" spans="1:3" ht="12.75">
      <c r="A6" s="120" t="s">
        <v>143</v>
      </c>
      <c r="B6" t="s">
        <v>140</v>
      </c>
      <c r="C6" s="121">
        <v>29430</v>
      </c>
    </row>
    <row r="7" spans="1:3" ht="12.75">
      <c r="A7" s="120" t="s">
        <v>143</v>
      </c>
      <c r="B7" t="s">
        <v>141</v>
      </c>
      <c r="C7" s="121">
        <v>44055</v>
      </c>
    </row>
    <row r="8" spans="1:3" ht="12.75">
      <c r="A8" s="120" t="s">
        <v>144</v>
      </c>
      <c r="B8" t="s">
        <v>140</v>
      </c>
      <c r="C8" s="121">
        <v>29623</v>
      </c>
    </row>
    <row r="9" spans="1:3" ht="12.75">
      <c r="A9" s="120" t="s">
        <v>144</v>
      </c>
      <c r="B9" t="s">
        <v>141</v>
      </c>
      <c r="C9" s="121">
        <v>40311</v>
      </c>
    </row>
    <row r="10" spans="1:3" ht="12.75">
      <c r="A10" s="120" t="s">
        <v>145</v>
      </c>
      <c r="B10" t="s">
        <v>140</v>
      </c>
      <c r="C10" s="121">
        <v>29374</v>
      </c>
    </row>
    <row r="11" spans="1:3" ht="12.75">
      <c r="A11" s="120" t="s">
        <v>145</v>
      </c>
      <c r="B11" t="s">
        <v>141</v>
      </c>
      <c r="C11" s="121">
        <v>37969</v>
      </c>
    </row>
    <row r="12" spans="1:3" ht="12.75">
      <c r="A12" s="120" t="s">
        <v>146</v>
      </c>
      <c r="B12" t="s">
        <v>140</v>
      </c>
      <c r="C12" s="121">
        <v>29310</v>
      </c>
    </row>
    <row r="13" spans="1:3" ht="12.75">
      <c r="A13" s="120" t="s">
        <v>146</v>
      </c>
      <c r="B13" t="s">
        <v>141</v>
      </c>
      <c r="C13" s="121">
        <v>37559</v>
      </c>
    </row>
    <row r="14" spans="1:3" ht="12.75">
      <c r="A14" s="120" t="s">
        <v>147</v>
      </c>
      <c r="B14" t="s">
        <v>140</v>
      </c>
      <c r="C14" s="121">
        <v>28015</v>
      </c>
    </row>
    <row r="15" spans="1:3" ht="12.75">
      <c r="A15" s="120" t="s">
        <v>147</v>
      </c>
      <c r="B15" t="s">
        <v>141</v>
      </c>
      <c r="C15" s="121">
        <v>35058</v>
      </c>
    </row>
    <row r="16" spans="1:3" ht="12.75">
      <c r="A16" s="120" t="s">
        <v>148</v>
      </c>
      <c r="B16" t="s">
        <v>140</v>
      </c>
      <c r="C16" s="121">
        <v>26615</v>
      </c>
    </row>
    <row r="17" spans="1:3" ht="12.75">
      <c r="A17" s="120" t="s">
        <v>148</v>
      </c>
      <c r="B17" t="s">
        <v>141</v>
      </c>
      <c r="C17" s="121">
        <v>33228</v>
      </c>
    </row>
    <row r="18" spans="1:3" ht="12.75">
      <c r="A18" s="120" t="s">
        <v>149</v>
      </c>
      <c r="B18" t="s">
        <v>140</v>
      </c>
      <c r="C18" s="121">
        <v>24894</v>
      </c>
    </row>
    <row r="19" spans="1:3" ht="12.75">
      <c r="A19" s="120" t="s">
        <v>149</v>
      </c>
      <c r="B19" t="s">
        <v>150</v>
      </c>
      <c r="C19" s="121">
        <v>147</v>
      </c>
    </row>
    <row r="20" spans="1:3" ht="12.75">
      <c r="A20" s="120" t="s">
        <v>149</v>
      </c>
      <c r="B20" t="s">
        <v>141</v>
      </c>
      <c r="C20" s="121">
        <v>30670</v>
      </c>
    </row>
    <row r="21" spans="1:3" ht="12.75">
      <c r="A21" s="120" t="s">
        <v>151</v>
      </c>
      <c r="B21" t="s">
        <v>140</v>
      </c>
      <c r="C21" s="121">
        <v>16018</v>
      </c>
    </row>
    <row r="22" spans="1:3" ht="12.75">
      <c r="A22" s="120" t="s">
        <v>151</v>
      </c>
      <c r="B22" t="s">
        <v>150</v>
      </c>
      <c r="C22" s="121">
        <v>2327</v>
      </c>
    </row>
    <row r="23" spans="1:3" ht="12.75">
      <c r="A23" s="120" t="s">
        <v>151</v>
      </c>
      <c r="B23" t="s">
        <v>141</v>
      </c>
      <c r="C23" s="121">
        <v>28400</v>
      </c>
    </row>
    <row r="24" spans="1:3" ht="12.75">
      <c r="A24" s="120" t="s">
        <v>152</v>
      </c>
      <c r="B24" t="s">
        <v>140</v>
      </c>
      <c r="C24" s="121">
        <v>14764</v>
      </c>
    </row>
    <row r="25" spans="1:3" ht="12.75">
      <c r="A25" s="120" t="s">
        <v>152</v>
      </c>
      <c r="B25" t="s">
        <v>150</v>
      </c>
      <c r="C25" s="121">
        <v>3050</v>
      </c>
    </row>
    <row r="26" spans="1:3" ht="12.75">
      <c r="A26" s="120" t="s">
        <v>152</v>
      </c>
      <c r="B26" t="s">
        <v>141</v>
      </c>
      <c r="C26" s="121">
        <v>27172</v>
      </c>
    </row>
    <row r="27" spans="1:3" ht="12.75">
      <c r="A27" s="120" t="s">
        <v>153</v>
      </c>
      <c r="B27" t="s">
        <v>140</v>
      </c>
      <c r="C27" s="121">
        <v>12586</v>
      </c>
    </row>
    <row r="28" spans="1:3" ht="12.75">
      <c r="A28" s="120" t="s">
        <v>153</v>
      </c>
      <c r="B28" t="s">
        <v>150</v>
      </c>
      <c r="C28" s="121">
        <v>3638</v>
      </c>
    </row>
    <row r="29" spans="1:3" ht="12.75">
      <c r="A29" s="120" t="s">
        <v>153</v>
      </c>
      <c r="B29" t="s">
        <v>141</v>
      </c>
      <c r="C29" s="121">
        <v>29817</v>
      </c>
    </row>
    <row r="30" spans="1:3" ht="12.75">
      <c r="A30" s="120" t="s">
        <v>154</v>
      </c>
      <c r="B30" t="s">
        <v>140</v>
      </c>
      <c r="C30" s="121">
        <v>9038</v>
      </c>
    </row>
    <row r="31" spans="1:3" ht="12.75">
      <c r="A31" s="120" t="s">
        <v>154</v>
      </c>
      <c r="B31" t="s">
        <v>150</v>
      </c>
      <c r="C31" s="121">
        <v>5709</v>
      </c>
    </row>
    <row r="32" spans="1:3" ht="12.75">
      <c r="A32" s="120" t="s">
        <v>154</v>
      </c>
      <c r="B32" t="s">
        <v>141</v>
      </c>
      <c r="C32" s="121">
        <v>28786</v>
      </c>
    </row>
    <row r="33" spans="1:3" ht="12.75">
      <c r="A33" s="120" t="s">
        <v>155</v>
      </c>
      <c r="B33" t="s">
        <v>140</v>
      </c>
      <c r="C33" s="121">
        <v>4940</v>
      </c>
    </row>
    <row r="34" spans="1:3" ht="12.75">
      <c r="A34" s="120" t="s">
        <v>155</v>
      </c>
      <c r="B34" t="s">
        <v>150</v>
      </c>
      <c r="C34" s="121">
        <v>10499</v>
      </c>
    </row>
    <row r="35" spans="1:3" ht="12.75">
      <c r="A35" s="120" t="s">
        <v>155</v>
      </c>
      <c r="B35" t="s">
        <v>141</v>
      </c>
      <c r="C35" s="121">
        <v>27896</v>
      </c>
    </row>
    <row r="36" spans="1:3" ht="12.75">
      <c r="A36" s="120" t="s">
        <v>156</v>
      </c>
      <c r="B36" t="s">
        <v>140</v>
      </c>
      <c r="C36" s="121">
        <v>4221</v>
      </c>
    </row>
    <row r="37" spans="1:3" ht="12.75">
      <c r="A37" s="120" t="s">
        <v>156</v>
      </c>
      <c r="B37" t="s">
        <v>150</v>
      </c>
      <c r="C37" s="121">
        <v>10163</v>
      </c>
    </row>
    <row r="38" spans="1:3" ht="12.75">
      <c r="A38" s="120" t="s">
        <v>156</v>
      </c>
      <c r="B38" t="s">
        <v>141</v>
      </c>
      <c r="C38" s="121">
        <v>27041</v>
      </c>
    </row>
    <row r="39" spans="1:3" ht="12.75">
      <c r="A39" s="120" t="s">
        <v>157</v>
      </c>
      <c r="B39" t="s">
        <v>140</v>
      </c>
      <c r="C39" s="121">
        <v>4193</v>
      </c>
    </row>
    <row r="40" spans="1:3" ht="12.75">
      <c r="A40" s="120" t="s">
        <v>157</v>
      </c>
      <c r="B40" t="s">
        <v>150</v>
      </c>
      <c r="C40" s="121">
        <v>9152</v>
      </c>
    </row>
    <row r="41" spans="1:3" ht="12.75">
      <c r="A41" s="120" t="s">
        <v>157</v>
      </c>
      <c r="B41" t="s">
        <v>141</v>
      </c>
      <c r="C41" s="121">
        <v>25804</v>
      </c>
    </row>
    <row r="42" spans="1:3" ht="12.75">
      <c r="A42" s="120" t="s">
        <v>158</v>
      </c>
      <c r="B42" t="s">
        <v>140</v>
      </c>
      <c r="C42" s="121">
        <v>3926</v>
      </c>
    </row>
    <row r="43" spans="1:3" ht="12.75">
      <c r="A43" s="120" t="s">
        <v>158</v>
      </c>
      <c r="B43" t="s">
        <v>150</v>
      </c>
      <c r="C43" s="121">
        <v>8350</v>
      </c>
    </row>
    <row r="44" spans="1:3" ht="12.75">
      <c r="A44" s="120" t="s">
        <v>158</v>
      </c>
      <c r="B44" t="s">
        <v>141</v>
      </c>
      <c r="C44" s="121">
        <v>25960</v>
      </c>
    </row>
    <row r="45" spans="1:3" ht="12.75">
      <c r="A45" s="120" t="s">
        <v>159</v>
      </c>
      <c r="B45" t="s">
        <v>140</v>
      </c>
      <c r="C45" s="121">
        <v>3545</v>
      </c>
    </row>
    <row r="46" spans="1:3" ht="12.75">
      <c r="A46" s="120" t="s">
        <v>159</v>
      </c>
      <c r="B46" t="s">
        <v>150</v>
      </c>
      <c r="C46" s="121">
        <v>7731</v>
      </c>
    </row>
    <row r="47" spans="1:3" ht="12.75">
      <c r="A47" s="120" t="s">
        <v>159</v>
      </c>
      <c r="B47" t="s">
        <v>141</v>
      </c>
      <c r="C47" s="121">
        <v>24564</v>
      </c>
    </row>
    <row r="48" spans="1:3" ht="12.75">
      <c r="A48" s="120" t="s">
        <v>160</v>
      </c>
      <c r="B48" t="s">
        <v>140</v>
      </c>
      <c r="C48" s="121">
        <v>3619</v>
      </c>
    </row>
    <row r="49" spans="1:3" ht="12.75">
      <c r="A49" s="120" t="s">
        <v>160</v>
      </c>
      <c r="B49" t="s">
        <v>150</v>
      </c>
      <c r="C49" s="121">
        <v>7352</v>
      </c>
    </row>
    <row r="50" spans="1:3" ht="12.75">
      <c r="A50" s="120" t="s">
        <v>160</v>
      </c>
      <c r="B50" t="s">
        <v>141</v>
      </c>
      <c r="C50" s="121">
        <v>23963</v>
      </c>
    </row>
    <row r="51" spans="1:3" ht="12.75">
      <c r="A51" s="120" t="s">
        <v>161</v>
      </c>
      <c r="B51" t="s">
        <v>140</v>
      </c>
      <c r="C51" s="121">
        <v>2646</v>
      </c>
    </row>
    <row r="52" spans="1:3" ht="12.75">
      <c r="A52" s="120" t="s">
        <v>161</v>
      </c>
      <c r="B52" t="s">
        <v>150</v>
      </c>
      <c r="C52" s="121">
        <v>4996</v>
      </c>
    </row>
    <row r="53" spans="1:3" ht="12.75">
      <c r="A53" s="120" t="s">
        <v>161</v>
      </c>
      <c r="B53" t="s">
        <v>141</v>
      </c>
      <c r="C53" s="121">
        <v>16652</v>
      </c>
    </row>
    <row r="54" spans="1:3" ht="12.75">
      <c r="A54" s="96" t="s">
        <v>162</v>
      </c>
      <c r="B54" s="96"/>
      <c r="C54" s="122">
        <f>SUM(C2:C53)</f>
        <v>1045339</v>
      </c>
    </row>
    <row r="55" spans="1:3" ht="12.75">
      <c r="A55" s="96" t="s">
        <v>163</v>
      </c>
      <c r="C55" s="122">
        <f>SUM(C2:C3)*(2000-1979+1)</f>
        <v>1648724</v>
      </c>
    </row>
    <row r="56" spans="1:3" ht="12.75">
      <c r="A56" s="96" t="s">
        <v>164</v>
      </c>
      <c r="C56" s="122">
        <f>C55+C54</f>
        <v>2694063</v>
      </c>
    </row>
  </sheetData>
  <sheetProtection selectLockedCells="1" selectUnlockedCells="1"/>
  <printOptions/>
  <pageMargins left="0.7875" right="0.7875" top="1.025" bottom="0.7875" header="0.7875" footer="0.5118055555555555"/>
  <pageSetup horizontalDpi="300" verticalDpi="300" orientation="landscape" paperSize="8"/>
  <headerFooter alignWithMargins="0">
    <oddHeader>&amp;CAnalisi costi archiviazione cartelle cliniche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2021-05-07T07:30:16Z</cp:lastPrinted>
  <dcterms:created xsi:type="dcterms:W3CDTF">2019-06-04T08:16:25Z</dcterms:created>
  <dcterms:modified xsi:type="dcterms:W3CDTF">2021-06-03T09:35:24Z</dcterms:modified>
  <cp:category/>
  <cp:version/>
  <cp:contentType/>
  <cp:contentStatus/>
  <cp:revision>36</cp:revision>
</cp:coreProperties>
</file>